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19425" windowHeight="10305" activeTab="2"/>
  </bookViews>
  <sheets>
    <sheet name="Supporting Data" sheetId="1" r:id="rId1"/>
    <sheet name="SUMMARY" sheetId="2" r:id="rId2"/>
    <sheet name="TC" sheetId="3" r:id="rId3"/>
    <sheet name="1 Age" sheetId="4" r:id="rId4"/>
    <sheet name="2 IDF" sheetId="5" r:id="rId5"/>
    <sheet name="3 Seismic design" sheetId="6" r:id="rId6"/>
    <sheet name="4 Landslides" sheetId="7" r:id="rId7"/>
    <sheet name="5 Length" sheetId="8" r:id="rId8"/>
    <sheet name="6 Conduits" sheetId="9" r:id="rId9"/>
    <sheet name="7 Filters" sheetId="10" r:id="rId10"/>
    <sheet name="8 Foundation" sheetId="11" r:id="rId11"/>
    <sheet name="EC" sheetId="12" r:id="rId12"/>
    <sheet name="1 Seismic resistance " sheetId="13" r:id="rId13"/>
    <sheet name="3 Flow disch" sheetId="14" r:id="rId14"/>
    <sheet name="4 Back-up power" sheetId="15" r:id="rId15"/>
    <sheet name="5 Access" sheetId="16" r:id="rId16"/>
    <sheet name="6 Concrete" sheetId="17" r:id="rId17"/>
    <sheet name="7 Spillway" sheetId="18" r:id="rId18"/>
    <sheet name="8 Masonry" sheetId="19" r:id="rId19"/>
    <sheet name="9 Embankment" sheetId="20" r:id="rId20"/>
    <sheet name="SP" sheetId="21" r:id="rId21"/>
    <sheet name="1 Documents" sheetId="22" r:id="rId22"/>
    <sheet name="2 O&amp;M" sheetId="23" r:id="rId23"/>
    <sheet name="3 EAP" sheetId="24" r:id="rId24"/>
    <sheet name="4 Organization" sheetId="25" r:id="rId25"/>
    <sheet name="5 Inspections" sheetId="26" r:id="rId26"/>
    <sheet name="6 DS Reports" sheetId="27" r:id="rId27"/>
    <sheet name="7 Follow up" sheetId="28" r:id="rId28"/>
    <sheet name="8 River System ops" sheetId="29" r:id="rId29"/>
    <sheet name="PI" sheetId="30" r:id="rId30"/>
    <sheet name="2 Environment" sheetId="31" r:id="rId31"/>
    <sheet name="3 Soc-econ" sheetId="32" r:id="rId32"/>
    <sheet name="COMMENTS" sheetId="33" r:id="rId33"/>
  </sheets>
  <definedNames>
    <definedName name="_Hlk38737732" localSheetId="3">'1 Age'!#REF!</definedName>
    <definedName name="_Hlk47110818" localSheetId="21">'1 Documents'!#REF!</definedName>
    <definedName name="_Hlk47110818" localSheetId="12">'1 Seismic resistance '!#REF!</definedName>
    <definedName name="_Hlk47110818" localSheetId="22">'2 O&amp;M'!#REF!</definedName>
    <definedName name="_Hlk47110818" localSheetId="23">'3 EAP'!#REF!</definedName>
    <definedName name="_Hlk47110818" localSheetId="13">'3 Flow disch'!#REF!</definedName>
    <definedName name="_Hlk47110818" localSheetId="14">'4 Back-up power'!#REF!</definedName>
    <definedName name="_Hlk47110818" localSheetId="24">'4 Organization'!#REF!</definedName>
    <definedName name="_Hlk47110818" localSheetId="15">'5 Access'!#REF!</definedName>
    <definedName name="_Hlk47110818" localSheetId="25">'5 Inspections'!#REF!</definedName>
    <definedName name="_Hlk47110818" localSheetId="16">'6 Concrete'!#REF!</definedName>
    <definedName name="_Hlk47110818" localSheetId="26">'6 DS Reports'!#REF!</definedName>
    <definedName name="_Hlk47110818" localSheetId="27">'7 Follow up'!#REF!</definedName>
    <definedName name="_Hlk47110818" localSheetId="17">'7 Spillway'!#REF!</definedName>
    <definedName name="_Hlk47110818" localSheetId="18">'8 Masonry'!$C$6</definedName>
    <definedName name="_Hlk47110818" localSheetId="28">'8 River System ops'!#REF!</definedName>
    <definedName name="_Hlk47110818" localSheetId="19">'9 Embankment'!$C$6</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29" l="1"/>
  <c r="H11" i="29"/>
  <c r="D11" i="29"/>
  <c r="I8" i="29" l="1"/>
  <c r="G27" i="29" s="1"/>
  <c r="G25" i="15" l="1"/>
  <c r="G13" i="15"/>
  <c r="E21" i="15"/>
  <c r="C7" i="8" l="1"/>
  <c r="H11" i="8" s="1"/>
  <c r="B18" i="15"/>
  <c r="E11" i="8"/>
  <c r="K56" i="11"/>
  <c r="K23" i="11"/>
  <c r="D9" i="30"/>
  <c r="D11" i="8"/>
  <c r="C11" i="8"/>
  <c r="J30" i="2"/>
  <c r="B16" i="24"/>
  <c r="F12" i="5"/>
  <c r="F6" i="5"/>
  <c r="F18" i="5"/>
  <c r="B59" i="19"/>
  <c r="B58" i="19"/>
  <c r="B57" i="19"/>
  <c r="B56" i="19"/>
  <c r="B55" i="19"/>
  <c r="B49" i="19"/>
  <c r="B48" i="19"/>
  <c r="B47" i="19"/>
  <c r="B46" i="19"/>
  <c r="B45" i="19"/>
  <c r="B44" i="19"/>
  <c r="B43" i="19"/>
  <c r="B42" i="19"/>
  <c r="B34" i="18"/>
  <c r="B33" i="18"/>
  <c r="B32" i="18"/>
  <c r="B31" i="18"/>
  <c r="B55" i="17"/>
  <c r="B54" i="17"/>
  <c r="B53" i="17"/>
  <c r="B52" i="17"/>
  <c r="B51" i="17"/>
  <c r="B48" i="17"/>
  <c r="B50" i="17"/>
  <c r="B46" i="17"/>
  <c r="B45" i="17"/>
  <c r="B42" i="17"/>
  <c r="B47" i="17"/>
  <c r="B39" i="17"/>
  <c r="B41" i="17"/>
  <c r="B15" i="28"/>
  <c r="L10" i="2"/>
  <c r="L9" i="2"/>
  <c r="I9" i="2"/>
  <c r="I25" i="2"/>
  <c r="F43" i="2"/>
  <c r="D33" i="21"/>
  <c r="B20" i="23"/>
  <c r="B27" i="18"/>
  <c r="H21" i="11" l="1"/>
  <c r="B44" i="2" l="1"/>
  <c r="B20" i="16"/>
  <c r="B43" i="17" l="1"/>
  <c r="B40" i="17"/>
  <c r="B32" i="7"/>
  <c r="B31" i="7"/>
  <c r="B30" i="7"/>
  <c r="B29" i="7"/>
  <c r="B28" i="7"/>
  <c r="B26" i="7"/>
  <c r="B27" i="7"/>
  <c r="B25" i="7"/>
  <c r="H19" i="7"/>
  <c r="F19" i="7"/>
  <c r="D19" i="7"/>
  <c r="B38" i="29" l="1"/>
  <c r="B37" i="29"/>
  <c r="B36" i="29"/>
  <c r="B35" i="29"/>
  <c r="B34" i="29"/>
  <c r="B33" i="29"/>
  <c r="B32" i="29"/>
  <c r="B31" i="29"/>
  <c r="B27" i="32"/>
  <c r="B26" i="32"/>
  <c r="B25" i="32"/>
  <c r="B24" i="32"/>
  <c r="B23" i="32"/>
  <c r="B22" i="32"/>
  <c r="B21" i="32"/>
  <c r="L15" i="32"/>
  <c r="J15" i="32"/>
  <c r="H15" i="32"/>
  <c r="F15" i="32"/>
  <c r="D15" i="32"/>
  <c r="L5" i="32"/>
  <c r="J5" i="32"/>
  <c r="H5" i="32"/>
  <c r="F5" i="32"/>
  <c r="D5" i="32"/>
  <c r="B20" i="31"/>
  <c r="B19" i="31"/>
  <c r="B18" i="31"/>
  <c r="B17" i="31"/>
  <c r="L10" i="31"/>
  <c r="J10" i="31"/>
  <c r="H10" i="31"/>
  <c r="F10" i="31"/>
  <c r="D10" i="31"/>
  <c r="L4" i="31"/>
  <c r="J4" i="31"/>
  <c r="H4" i="31"/>
  <c r="F4" i="31"/>
  <c r="D4" i="31"/>
  <c r="B32" i="30"/>
  <c r="C30" i="30"/>
  <c r="F46" i="2"/>
  <c r="G46" i="2" s="1"/>
  <c r="H25" i="29"/>
  <c r="F25" i="29"/>
  <c r="D25" i="29"/>
  <c r="H19" i="29"/>
  <c r="F19" i="29"/>
  <c r="D19" i="29"/>
  <c r="H4" i="29"/>
  <c r="F4" i="29"/>
  <c r="D4" i="29"/>
  <c r="B16" i="28"/>
  <c r="J9" i="28"/>
  <c r="H9" i="28"/>
  <c r="F9" i="28"/>
  <c r="D9" i="28"/>
  <c r="J4" i="28"/>
  <c r="H4" i="28"/>
  <c r="F4" i="28"/>
  <c r="D4" i="28"/>
  <c r="B18" i="27"/>
  <c r="B17" i="27"/>
  <c r="B16" i="27"/>
  <c r="H10" i="27"/>
  <c r="F10" i="27"/>
  <c r="D10" i="27"/>
  <c r="H4" i="27"/>
  <c r="F4" i="27"/>
  <c r="D4" i="27"/>
  <c r="C18" i="26"/>
  <c r="C17" i="26"/>
  <c r="C16" i="26"/>
  <c r="J10" i="26"/>
  <c r="H10" i="26"/>
  <c r="F10" i="26"/>
  <c r="D10" i="26"/>
  <c r="J4" i="26"/>
  <c r="H4" i="26"/>
  <c r="F4" i="26"/>
  <c r="D4" i="26"/>
  <c r="B18" i="25"/>
  <c r="B17" i="25"/>
  <c r="B16" i="25"/>
  <c r="H10" i="25"/>
  <c r="F10" i="25"/>
  <c r="D10" i="25"/>
  <c r="H4" i="25"/>
  <c r="F4" i="25"/>
  <c r="D4" i="25"/>
  <c r="B17" i="24"/>
  <c r="D10" i="24"/>
  <c r="D12" i="24" s="1"/>
  <c r="D14" i="24" s="1"/>
  <c r="D15" i="21" s="1"/>
  <c r="F39" i="2" s="1"/>
  <c r="G39" i="2" s="1"/>
  <c r="H14" i="23"/>
  <c r="F14" i="23"/>
  <c r="D14" i="23"/>
  <c r="H4" i="23"/>
  <c r="D4" i="23"/>
  <c r="B13" i="22"/>
  <c r="H4" i="22"/>
  <c r="F4" i="22"/>
  <c r="D4" i="22"/>
  <c r="C42" i="21"/>
  <c r="B49" i="20"/>
  <c r="B48" i="20"/>
  <c r="B47" i="20"/>
  <c r="B46" i="20"/>
  <c r="B45" i="20"/>
  <c r="B44" i="20"/>
  <c r="B43" i="20"/>
  <c r="B42" i="20"/>
  <c r="B41" i="20"/>
  <c r="B40" i="20"/>
  <c r="B39" i="20"/>
  <c r="B38" i="20"/>
  <c r="B37" i="20"/>
  <c r="B36" i="20"/>
  <c r="B35" i="20"/>
  <c r="B34" i="20"/>
  <c r="J28" i="20"/>
  <c r="H28" i="20"/>
  <c r="F28" i="20"/>
  <c r="D28" i="20"/>
  <c r="J4" i="20"/>
  <c r="H4" i="20"/>
  <c r="F4" i="20"/>
  <c r="D4" i="20"/>
  <c r="B54" i="19"/>
  <c r="B53" i="19"/>
  <c r="B52" i="19"/>
  <c r="B51" i="19"/>
  <c r="B50" i="19"/>
  <c r="B41" i="19"/>
  <c r="J35" i="19"/>
  <c r="H35" i="19"/>
  <c r="F35" i="19"/>
  <c r="D35" i="19"/>
  <c r="J4" i="19"/>
  <c r="H4" i="19"/>
  <c r="F4" i="19"/>
  <c r="D4" i="19"/>
  <c r="B30" i="18"/>
  <c r="B29" i="18"/>
  <c r="B28" i="18"/>
  <c r="J21" i="18"/>
  <c r="H21" i="18"/>
  <c r="F21" i="18"/>
  <c r="D21" i="18"/>
  <c r="J4" i="18"/>
  <c r="H4" i="18"/>
  <c r="F4" i="18"/>
  <c r="D4" i="18"/>
  <c r="B49" i="17"/>
  <c r="B44" i="17"/>
  <c r="J33" i="17"/>
  <c r="H33" i="17"/>
  <c r="F33" i="17"/>
  <c r="D33" i="17"/>
  <c r="J4" i="17"/>
  <c r="H4" i="17"/>
  <c r="F4" i="17"/>
  <c r="D4" i="17"/>
  <c r="B19" i="16"/>
  <c r="B18" i="16"/>
  <c r="B17" i="16"/>
  <c r="F11" i="16"/>
  <c r="D11" i="16"/>
  <c r="F4" i="16"/>
  <c r="D4" i="16"/>
  <c r="J18" i="15"/>
  <c r="B17" i="15"/>
  <c r="H11" i="15"/>
  <c r="F11" i="15"/>
  <c r="D11" i="15"/>
  <c r="H4" i="15"/>
  <c r="F4" i="15"/>
  <c r="D4" i="15"/>
  <c r="B22" i="14"/>
  <c r="B21" i="14"/>
  <c r="B20" i="14"/>
  <c r="B19" i="14"/>
  <c r="B18" i="14"/>
  <c r="J12" i="14"/>
  <c r="H12" i="14"/>
  <c r="F12" i="14"/>
  <c r="D12" i="14"/>
  <c r="J4" i="14"/>
  <c r="H4" i="14"/>
  <c r="F4" i="14"/>
  <c r="D4" i="14"/>
  <c r="B18" i="13"/>
  <c r="B17" i="13"/>
  <c r="B16" i="13"/>
  <c r="H10" i="13"/>
  <c r="F10" i="13"/>
  <c r="D10" i="13"/>
  <c r="H4" i="13"/>
  <c r="F4" i="13"/>
  <c r="D4" i="13"/>
  <c r="K35" i="12"/>
  <c r="K34" i="12"/>
  <c r="K33" i="12"/>
  <c r="K32" i="12"/>
  <c r="J31" i="12"/>
  <c r="G50" i="2" s="1"/>
  <c r="I28" i="12"/>
  <c r="D14" i="12"/>
  <c r="F28" i="2" s="1"/>
  <c r="G28" i="2" s="1"/>
  <c r="B67" i="11"/>
  <c r="B66" i="11"/>
  <c r="B65" i="11"/>
  <c r="B64" i="11"/>
  <c r="B63" i="11"/>
  <c r="B62" i="11"/>
  <c r="B61" i="11"/>
  <c r="B60" i="11"/>
  <c r="L54" i="11"/>
  <c r="J54" i="11"/>
  <c r="H54" i="11"/>
  <c r="F54" i="11"/>
  <c r="D54" i="11"/>
  <c r="L37" i="11"/>
  <c r="J37" i="11"/>
  <c r="H37" i="11"/>
  <c r="B32" i="11"/>
  <c r="B31" i="11"/>
  <c r="B30" i="11"/>
  <c r="B29" i="11"/>
  <c r="B28" i="11"/>
  <c r="B27" i="11"/>
  <c r="L21" i="11"/>
  <c r="J21" i="11"/>
  <c r="F21" i="11"/>
  <c r="D21" i="11"/>
  <c r="L7" i="11"/>
  <c r="J7" i="11"/>
  <c r="H7" i="11"/>
  <c r="F7" i="11"/>
  <c r="D7" i="11"/>
  <c r="B20" i="9"/>
  <c r="H14" i="9"/>
  <c r="F14" i="9"/>
  <c r="G16" i="9" s="1"/>
  <c r="D14" i="9"/>
  <c r="H4" i="9"/>
  <c r="F4" i="9"/>
  <c r="D4" i="9"/>
  <c r="E13" i="8"/>
  <c r="F28" i="3" s="1"/>
  <c r="D13" i="8"/>
  <c r="E28" i="3" s="1"/>
  <c r="C13" i="8"/>
  <c r="D28" i="3" s="1"/>
  <c r="H7" i="8"/>
  <c r="H6" i="8"/>
  <c r="H5" i="8"/>
  <c r="H4" i="8"/>
  <c r="H4" i="7"/>
  <c r="F4" i="7"/>
  <c r="G21" i="7" s="1"/>
  <c r="D4" i="7"/>
  <c r="B17" i="6"/>
  <c r="B16" i="6"/>
  <c r="B15" i="6"/>
  <c r="J9" i="6"/>
  <c r="H9" i="6"/>
  <c r="F9" i="6"/>
  <c r="D9" i="6"/>
  <c r="J4" i="6"/>
  <c r="H4" i="6"/>
  <c r="F4" i="6"/>
  <c r="D4" i="6"/>
  <c r="G13" i="5"/>
  <c r="G11" i="5"/>
  <c r="G8" i="5"/>
  <c r="C9" i="4"/>
  <c r="C11" i="4" s="1"/>
  <c r="C13" i="4" s="1"/>
  <c r="D7" i="3" s="1"/>
  <c r="F62" i="3"/>
  <c r="E62" i="3"/>
  <c r="E45" i="3" s="1"/>
  <c r="D62" i="3"/>
  <c r="D45" i="3" s="1"/>
  <c r="C47" i="3"/>
  <c r="F45" i="3"/>
  <c r="F36" i="3"/>
  <c r="F22" i="2" s="1"/>
  <c r="G22" i="2" s="1"/>
  <c r="B50" i="2"/>
  <c r="G49" i="2"/>
  <c r="B49" i="2"/>
  <c r="B48" i="2"/>
  <c r="B47" i="2"/>
  <c r="B46" i="2"/>
  <c r="B43" i="2"/>
  <c r="B42" i="2"/>
  <c r="B41" i="2"/>
  <c r="B40" i="2"/>
  <c r="B39" i="2"/>
  <c r="B38" i="2"/>
  <c r="B37" i="2"/>
  <c r="B35" i="2"/>
  <c r="B34" i="2"/>
  <c r="B33" i="2"/>
  <c r="B32" i="2"/>
  <c r="B31" i="2"/>
  <c r="B30" i="2"/>
  <c r="I30" i="2"/>
  <c r="B29" i="2"/>
  <c r="B28" i="2"/>
  <c r="B27" i="2"/>
  <c r="B25" i="2"/>
  <c r="J25" i="2"/>
  <c r="B23" i="2"/>
  <c r="B22" i="2"/>
  <c r="B21" i="2"/>
  <c r="B20" i="2"/>
  <c r="B19" i="2"/>
  <c r="F18" i="2"/>
  <c r="G18" i="2" s="1"/>
  <c r="B18" i="2"/>
  <c r="B17" i="2"/>
  <c r="B16" i="2"/>
  <c r="F12" i="2"/>
  <c r="D12" i="2"/>
  <c r="C12" i="2"/>
  <c r="B12" i="2"/>
  <c r="J10" i="2"/>
  <c r="I10" i="2"/>
  <c r="J9" i="2"/>
  <c r="J8" i="2"/>
  <c r="I8" i="2"/>
  <c r="J7" i="2"/>
  <c r="I7" i="2"/>
  <c r="J6" i="2"/>
  <c r="I6" i="2"/>
  <c r="J5" i="2"/>
  <c r="I5" i="2"/>
  <c r="J4" i="2"/>
  <c r="I4" i="2"/>
  <c r="G18" i="9" l="1"/>
  <c r="F32" i="3" s="1"/>
  <c r="F21" i="2" s="1"/>
  <c r="H13" i="8"/>
  <c r="F20" i="2" s="1"/>
  <c r="I23" i="18"/>
  <c r="I25" i="18" s="1"/>
  <c r="J8" i="12" s="1"/>
  <c r="F33" i="2" s="1"/>
  <c r="I21" i="29"/>
  <c r="I14" i="29"/>
  <c r="D41" i="3"/>
  <c r="K58" i="11"/>
  <c r="E21" i="5"/>
  <c r="D11" i="3" s="1"/>
  <c r="F17" i="2" s="1"/>
  <c r="G17" i="2" s="1"/>
  <c r="I37" i="19"/>
  <c r="I39" i="19" s="1"/>
  <c r="J12" i="12" s="1"/>
  <c r="F34" i="2" s="1"/>
  <c r="G34" i="2" s="1"/>
  <c r="I30" i="20"/>
  <c r="I32" i="20" s="1"/>
  <c r="J17" i="12" s="1"/>
  <c r="F35" i="2" s="1"/>
  <c r="G35" i="2" s="1"/>
  <c r="I35" i="17"/>
  <c r="I37" i="17" s="1"/>
  <c r="G9" i="22"/>
  <c r="G11" i="22" s="1"/>
  <c r="D7" i="21" s="1"/>
  <c r="I23" i="2"/>
  <c r="K17" i="32"/>
  <c r="K19" i="32" s="1"/>
  <c r="D22" i="30" s="1"/>
  <c r="F48" i="2" s="1"/>
  <c r="G48" i="2" s="1"/>
  <c r="K12" i="31"/>
  <c r="K14" i="31" s="1"/>
  <c r="D16" i="30" s="1"/>
  <c r="F47" i="2" s="1"/>
  <c r="G47" i="2" s="1"/>
  <c r="I11" i="28"/>
  <c r="I13" i="28" s="1"/>
  <c r="G43" i="2" s="1"/>
  <c r="G12" i="27"/>
  <c r="G14" i="27" s="1"/>
  <c r="D28" i="21" s="1"/>
  <c r="F42" i="2" s="1"/>
  <c r="G42" i="2" s="1"/>
  <c r="I12" i="26"/>
  <c r="I14" i="26" s="1"/>
  <c r="D24" i="21" s="1"/>
  <c r="F41" i="2" s="1"/>
  <c r="G41" i="2" s="1"/>
  <c r="G12" i="25"/>
  <c r="G14" i="25" s="1"/>
  <c r="D19" i="21" s="1"/>
  <c r="F40" i="2" s="1"/>
  <c r="G40" i="2" s="1"/>
  <c r="G16" i="23"/>
  <c r="G18" i="23" s="1"/>
  <c r="D11" i="21" s="1"/>
  <c r="F38" i="2" s="1"/>
  <c r="G38" i="2" s="1"/>
  <c r="I14" i="14"/>
  <c r="I16" i="14" s="1"/>
  <c r="D19" i="12" s="1"/>
  <c r="F29" i="2" s="1"/>
  <c r="G29" i="2" s="1"/>
  <c r="G12" i="13"/>
  <c r="G14" i="13" s="1"/>
  <c r="D7" i="12" s="1"/>
  <c r="F27" i="2" s="1"/>
  <c r="G27" i="2" s="1"/>
  <c r="I11" i="6"/>
  <c r="D16" i="3" s="1"/>
  <c r="E12" i="2"/>
  <c r="G12" i="2" s="1"/>
  <c r="E13" i="16"/>
  <c r="E15" i="16" s="1"/>
  <c r="D27" i="12" s="1"/>
  <c r="F31" i="2" s="1"/>
  <c r="G31" i="2" s="1"/>
  <c r="G23" i="7"/>
  <c r="D20" i="3" s="1"/>
  <c r="F19" i="2" s="1"/>
  <c r="G19" i="2" s="1"/>
  <c r="F16" i="2"/>
  <c r="F37" i="2"/>
  <c r="G37" i="2" s="1"/>
  <c r="G33" i="2" l="1"/>
  <c r="G15" i="15"/>
  <c r="G20" i="2"/>
  <c r="G21" i="2"/>
  <c r="F41" i="3"/>
  <c r="F25" i="2" s="1"/>
  <c r="G25" i="2" s="1"/>
  <c r="F24" i="2"/>
  <c r="G24" i="2" s="1"/>
  <c r="D31" i="12"/>
  <c r="F32" i="2"/>
  <c r="K25" i="11"/>
  <c r="E23" i="5"/>
  <c r="C28" i="30"/>
  <c r="F6" i="2" s="1"/>
  <c r="I13" i="6"/>
  <c r="G29" i="29"/>
  <c r="F8" i="2" l="1"/>
  <c r="D24" i="12"/>
  <c r="I26" i="12" s="1"/>
  <c r="C6" i="2" s="1"/>
  <c r="C8" i="2" s="1"/>
  <c r="F30" i="2"/>
  <c r="G30" i="2" s="1"/>
  <c r="C45" i="3"/>
  <c r="B6" i="2" s="1"/>
  <c r="B8" i="2" s="1"/>
  <c r="G32" i="2"/>
  <c r="D36" i="21"/>
  <c r="C40" i="21" l="1"/>
  <c r="D6" i="2" s="1"/>
  <c r="F44" i="2"/>
  <c r="G44" i="2" s="1"/>
  <c r="D8" i="2" l="1"/>
  <c r="E6" i="2"/>
  <c r="E8" i="2" l="1"/>
  <c r="G6" i="2"/>
  <c r="G8" i="2" s="1"/>
</calcChain>
</file>

<file path=xl/comments1.xml><?xml version="1.0" encoding="utf-8"?>
<comments xmlns="http://schemas.openxmlformats.org/spreadsheetml/2006/main">
  <authors>
    <author/>
  </authors>
  <commentList>
    <comment ref="B17" authorId="0">
      <text>
        <r>
          <rPr>
            <sz val="11"/>
            <color theme="1"/>
            <rFont val="Calibri"/>
            <family val="2"/>
            <scheme val="minor"/>
          </rPr>
          <t>======
ID#AAABIQi6I48
user    (2024-04-13 13:23:29)
user:</t>
        </r>
      </text>
    </comment>
    <comment ref="B18" authorId="0">
      <text>
        <r>
          <rPr>
            <sz val="11"/>
            <color theme="1"/>
            <rFont val="Calibri"/>
            <family val="2"/>
            <scheme val="minor"/>
          </rPr>
          <t>======
ID#AAABIQi6I5A
user    (2024-04-13 13:23:29)
user:</t>
        </r>
      </text>
    </comment>
  </commentList>
</comments>
</file>

<file path=xl/sharedStrings.xml><?xml version="1.0" encoding="utf-8"?>
<sst xmlns="http://schemas.openxmlformats.org/spreadsheetml/2006/main" count="1308" uniqueCount="978">
  <si>
    <t>State:</t>
  </si>
  <si>
    <t>Input text into red-shaded cells</t>
  </si>
  <si>
    <t>Dam name:</t>
  </si>
  <si>
    <t>PIC:</t>
  </si>
  <si>
    <t>Dam Type:</t>
  </si>
  <si>
    <t>River System:</t>
  </si>
  <si>
    <t>Reviewer:</t>
  </si>
  <si>
    <t>Embankment</t>
  </si>
  <si>
    <t>Concrete</t>
  </si>
  <si>
    <t>Masonry</t>
  </si>
  <si>
    <t>Combination</t>
  </si>
  <si>
    <t>India National Dam Inventory Assessment (INDIA)</t>
  </si>
  <si>
    <t>Final scores</t>
  </si>
  <si>
    <t>TC</t>
  </si>
  <si>
    <t>EC</t>
  </si>
  <si>
    <t>SP</t>
  </si>
  <si>
    <t>FI</t>
  </si>
  <si>
    <t>PI</t>
  </si>
  <si>
    <t>Risk Index (RI)</t>
  </si>
  <si>
    <t>Percentage of maximum score</t>
  </si>
  <si>
    <t>Maximum possible scores</t>
  </si>
  <si>
    <t>Risk Index</t>
  </si>
  <si>
    <t>Score</t>
  </si>
  <si>
    <t>% of Maximum</t>
  </si>
  <si>
    <t>Technical Characteristics Summary:</t>
  </si>
  <si>
    <t>Existing Conditions Summary:</t>
  </si>
  <si>
    <t>Safety Plans Summary:</t>
  </si>
  <si>
    <t>Potential Impacts Summary:</t>
  </si>
  <si>
    <t>Technical Characteristics</t>
  </si>
  <si>
    <t>Possible scores</t>
  </si>
  <si>
    <t>Selected score</t>
  </si>
  <si>
    <t>Comments</t>
  </si>
  <si>
    <t>Guidance</t>
  </si>
  <si>
    <t>TC-1 Age</t>
  </si>
  <si>
    <t>6 years or more</t>
  </si>
  <si>
    <t>Open the worksheet TC-1 Age</t>
  </si>
  <si>
    <t>less than 6 years old with no dam safety issues evident</t>
  </si>
  <si>
    <t>less than 6 years with evidence of dam safety issues</t>
  </si>
  <si>
    <t>TC-2 Inflow Design Flood</t>
  </si>
  <si>
    <t>PMF</t>
  </si>
  <si>
    <t>Open the worksheet TC-2 IDF</t>
  </si>
  <si>
    <t>SPF</t>
  </si>
  <si>
    <t>100-year flood</t>
  </si>
  <si>
    <t>TC-3 Seismic design</t>
  </si>
  <si>
    <t>II</t>
  </si>
  <si>
    <t>Open the worksheet TC-3 Seismic design</t>
  </si>
  <si>
    <t>III</t>
  </si>
  <si>
    <t>IV</t>
  </si>
  <si>
    <t>V</t>
  </si>
  <si>
    <t>TC-4 Landslides, GLOF's, LDOF's, debris flow and sedimentation</t>
  </si>
  <si>
    <t>Low risk</t>
  </si>
  <si>
    <t>Open the worksheet TC-4 Landslides …</t>
  </si>
  <si>
    <t>Significant risk</t>
  </si>
  <si>
    <t>High risk</t>
  </si>
  <si>
    <t>Dam components</t>
  </si>
  <si>
    <t>Concrete (all)</t>
  </si>
  <si>
    <t xml:space="preserve">Masonry </t>
  </si>
  <si>
    <t>TC-5 Length (m)</t>
  </si>
  <si>
    <t>Less than 200 m</t>
  </si>
  <si>
    <t>Open the worksheet TC-5 Length</t>
  </si>
  <si>
    <t>200 to 1000 m</t>
  </si>
  <si>
    <t>1000 to 10,000 m</t>
  </si>
  <si>
    <t>More than 10,000 m</t>
  </si>
  <si>
    <t>TC-6 Conduits</t>
  </si>
  <si>
    <t>No conduits through dam body present</t>
  </si>
  <si>
    <t>does not apply</t>
  </si>
  <si>
    <t>Open the worksheet TC-6 Conduits</t>
  </si>
  <si>
    <t>Conduit of modern design through the dam body present</t>
  </si>
  <si>
    <t>Conduit in direct contact or penetrating the embankment where the design is not known or is not of modern design</t>
  </si>
  <si>
    <t>TC-7 Filters</t>
  </si>
  <si>
    <t>Modern filters present</t>
  </si>
  <si>
    <t>If the score is not 24 open the worksheet TC-7 Filters</t>
  </si>
  <si>
    <t>Filters not meeting modern design criteria</t>
  </si>
  <si>
    <t>No filters present</t>
  </si>
  <si>
    <t>TC-8 Foundation and Abutments</t>
  </si>
  <si>
    <t>Very good</t>
  </si>
  <si>
    <t>Open the worksheet TC-8 Foundation …</t>
  </si>
  <si>
    <t xml:space="preserve">Good </t>
  </si>
  <si>
    <t>Adequate</t>
  </si>
  <si>
    <t>Poor</t>
  </si>
  <si>
    <t>Very poor</t>
  </si>
  <si>
    <t xml:space="preserve">Total TC score </t>
  </si>
  <si>
    <t>Max possible score</t>
  </si>
  <si>
    <t>filled?</t>
  </si>
  <si>
    <t>TC-1 Dam Age</t>
  </si>
  <si>
    <t>1-Age</t>
  </si>
  <si>
    <t>1. Age 6 years or more and</t>
  </si>
  <si>
    <t>Input data into red-shaded cells</t>
  </si>
  <si>
    <r>
      <rPr>
        <sz val="10"/>
        <color theme="1"/>
        <rFont val="Calibri"/>
        <family val="2"/>
      </rPr>
      <t>2.</t>
    </r>
    <r>
      <rPr>
        <sz val="10"/>
        <color theme="1"/>
        <rFont val="Times New Roman"/>
        <family val="1"/>
      </rPr>
      <t> </t>
    </r>
    <r>
      <rPr>
        <sz val="10"/>
        <color theme="1"/>
        <rFont val="Calibri"/>
        <family val="2"/>
      </rPr>
      <t xml:space="preserve">No material dam safety issues occurred during the first filling (for all dams) and the saturation phase (for embankment dams) of dam life cycle </t>
    </r>
  </si>
  <si>
    <r>
      <rPr>
        <sz val="10"/>
        <color theme="1"/>
        <rFont val="Calibri"/>
        <family val="2"/>
      </rPr>
      <t>1.</t>
    </r>
    <r>
      <rPr>
        <sz val="10"/>
        <color theme="1"/>
        <rFont val="Times New Roman"/>
        <family val="1"/>
      </rPr>
      <t> </t>
    </r>
    <r>
      <rPr>
        <sz val="10"/>
        <color theme="1"/>
        <rFont val="Calibri"/>
        <family val="2"/>
      </rPr>
      <t>Age less than 6 years and</t>
    </r>
  </si>
  <si>
    <t>Current year</t>
  </si>
  <si>
    <r>
      <rPr>
        <sz val="10"/>
        <color theme="1"/>
        <rFont val="Calibri"/>
        <family val="2"/>
      </rPr>
      <t>2.</t>
    </r>
    <r>
      <rPr>
        <sz val="10"/>
        <color theme="1"/>
        <rFont val="Times New Roman"/>
        <family val="1"/>
      </rPr>
      <t> </t>
    </r>
    <r>
      <rPr>
        <sz val="10"/>
        <color theme="1"/>
        <rFont val="Calibri"/>
        <family val="2"/>
      </rPr>
      <t xml:space="preserve">No material dam safety issues occurred during the first filling (for all dams) and the saturation phase (for embankment dams) of dam life cycle </t>
    </r>
  </si>
  <si>
    <t>Design reservoir water level achieved in year</t>
  </si>
  <si>
    <r>
      <rPr>
        <sz val="10"/>
        <color theme="1"/>
        <rFont val="Calibri"/>
        <family val="2"/>
      </rPr>
      <t>1.</t>
    </r>
    <r>
      <rPr>
        <sz val="10"/>
        <color theme="1"/>
        <rFont val="Times New Roman"/>
        <family val="1"/>
      </rPr>
      <t xml:space="preserve"> </t>
    </r>
    <r>
      <rPr>
        <sz val="10"/>
        <color theme="1"/>
        <rFont val="Calibri"/>
        <family val="2"/>
      </rPr>
      <t>Any age and</t>
    </r>
  </si>
  <si>
    <t>Dam safety issues (for example sinkoles, excessive sepage, etc.) occurred during the first filling (for all dams) or saturation phase (for embankment dams) 
(yes/no?)</t>
  </si>
  <si>
    <r>
      <rPr>
        <sz val="10"/>
        <color theme="1"/>
        <rFont val="Calibri"/>
        <family val="2"/>
      </rPr>
      <t>2.</t>
    </r>
    <r>
      <rPr>
        <sz val="10"/>
        <color theme="1"/>
        <rFont val="Times New Roman"/>
        <family val="1"/>
      </rPr>
      <t> </t>
    </r>
    <r>
      <rPr>
        <sz val="10"/>
        <color theme="1"/>
        <rFont val="Calibri"/>
        <family val="2"/>
      </rPr>
      <t xml:space="preserve">Material dam safety issues occurred during the first filling (for all dams) and the saturation phase (for embankment dams) of dam life cycle </t>
    </r>
  </si>
  <si>
    <t>Dam age</t>
  </si>
  <si>
    <r>
      <rPr>
        <b/>
        <sz val="11"/>
        <color theme="1"/>
        <rFont val="Calibri"/>
        <family val="2"/>
      </rPr>
      <t xml:space="preserve">SUGGESTED SCORE  </t>
    </r>
    <r>
      <rPr>
        <b/>
        <sz val="11"/>
        <color rgb="FFFFFF00"/>
        <rFont val="Calibri"/>
        <family val="2"/>
      </rPr>
      <t>xx</t>
    </r>
  </si>
  <si>
    <r>
      <rPr>
        <b/>
        <sz val="11"/>
        <color theme="0"/>
        <rFont val="Calibri"/>
        <family val="2"/>
      </rPr>
      <t xml:space="preserve">FINAL SCORE </t>
    </r>
    <r>
      <rPr>
        <b/>
        <sz val="11"/>
        <color rgb="FF2E75B5"/>
        <rFont val="Calibri"/>
        <family val="2"/>
      </rPr>
      <t xml:space="preserve"> xx</t>
    </r>
  </si>
  <si>
    <t xml:space="preserve">TC-2 Inflow Design Flood </t>
  </si>
  <si>
    <t>Column/Row</t>
  </si>
  <si>
    <t xml:space="preserve"> </t>
  </si>
  <si>
    <t>REQUIREMENTS TO BE MET or PRESENT STATE</t>
  </si>
  <si>
    <r>
      <rPr>
        <b/>
        <sz val="11"/>
        <color theme="1"/>
        <rFont val="Calibri"/>
        <family val="2"/>
      </rPr>
      <t xml:space="preserve">If the PMF is selected as the IDF adress statements/questions only in the </t>
    </r>
    <r>
      <rPr>
        <b/>
        <u/>
        <sz val="11"/>
        <color theme="1"/>
        <rFont val="Calibri"/>
        <family val="2"/>
      </rPr>
      <t>Rows 1 to 5</t>
    </r>
  </si>
  <si>
    <r>
      <rPr>
        <sz val="11"/>
        <color theme="1"/>
        <rFont val="Calibri"/>
        <family val="2"/>
      </rPr>
      <t xml:space="preserve">PMF estimate derived from a recent (less than 10 years) study that followed methodology outlines in 2021 Central Water Commission (CWC) </t>
    </r>
    <r>
      <rPr>
        <b/>
        <i/>
        <sz val="11"/>
        <color theme="1"/>
        <rFont val="Calibri"/>
        <family val="2"/>
      </rPr>
      <t>Guidelines for Selecting and Accommodating Inflow Design Floods for Dams</t>
    </r>
    <r>
      <rPr>
        <sz val="11"/>
        <color theme="1"/>
        <rFont val="Calibri"/>
        <family val="2"/>
      </rPr>
      <t>.</t>
    </r>
  </si>
  <si>
    <t>PMF estimate derived more than 10 years ago when modern methods outlined in 2021 CWC Guidelines were unknown or not applied.</t>
  </si>
  <si>
    <t>The highest recorded inflow is less than 5% of the PMF</t>
  </si>
  <si>
    <t>The highest recorded inflow is between 5% and 30% of the PMF</t>
  </si>
  <si>
    <t>The highest recorded inflow is more than 30% of the PMF</t>
  </si>
  <si>
    <r>
      <rPr>
        <b/>
        <sz val="11"/>
        <color theme="1"/>
        <rFont val="Calibri"/>
        <family val="2"/>
      </rPr>
      <t xml:space="preserve">If the SDF is selected as the IDF adress statements/questions only in the </t>
    </r>
    <r>
      <rPr>
        <b/>
        <u/>
        <sz val="11"/>
        <color theme="1"/>
        <rFont val="Calibri"/>
        <family val="2"/>
      </rPr>
      <t>Rows 6 to 10</t>
    </r>
  </si>
  <si>
    <r>
      <rPr>
        <sz val="11"/>
        <color theme="1"/>
        <rFont val="Calibri"/>
        <family val="2"/>
      </rPr>
      <t xml:space="preserve">SPF estimate derived from a recent (less than 10 years) study that followed methodology outlines in 2021 Central Water Commission (CWC) </t>
    </r>
    <r>
      <rPr>
        <b/>
        <i/>
        <sz val="11"/>
        <color theme="1"/>
        <rFont val="Calibri"/>
        <family val="2"/>
      </rPr>
      <t>Guidelines for Selecting and Accommodating Inflow Design Floods for Dams</t>
    </r>
    <r>
      <rPr>
        <sz val="11"/>
        <color theme="1"/>
        <rFont val="Calibri"/>
        <family val="2"/>
      </rPr>
      <t>.</t>
    </r>
  </si>
  <si>
    <t>SPF estimate derived more than 10 years ago when modern methods outlined in 2021 CWC Guidelines were unknown or not applied.</t>
  </si>
  <si>
    <t>The highest recorded inflow is less than 10% of the SPF</t>
  </si>
  <si>
    <t>The highest recorded inflow is between 10% and 50% of the SPF</t>
  </si>
  <si>
    <t>The highest recorded inflow is more than 50% of the SPF</t>
  </si>
  <si>
    <r>
      <rPr>
        <b/>
        <sz val="11"/>
        <color theme="1"/>
        <rFont val="Calibri"/>
        <family val="2"/>
      </rPr>
      <t xml:space="preserve">If the 100-year flood is selected as the IDF adress statements/questions only in the </t>
    </r>
    <r>
      <rPr>
        <b/>
        <u/>
        <sz val="11"/>
        <color theme="1"/>
        <rFont val="Calibri"/>
        <family val="2"/>
      </rPr>
      <t>Rows 11 to 12</t>
    </r>
  </si>
  <si>
    <t>100-yr flood</t>
  </si>
  <si>
    <t>The estimate derived from the sample lomger than 50 years</t>
  </si>
  <si>
    <t>The estimate derived from the sample shorter than 50 years</t>
  </si>
  <si>
    <t xml:space="preserve">SUGGESTED SCORE   </t>
  </si>
  <si>
    <t xml:space="preserve">FINAL SCORE    </t>
  </si>
  <si>
    <t>Column</t>
  </si>
  <si>
    <t xml:space="preserve">LOW RISK– the best score </t>
  </si>
  <si>
    <t xml:space="preserve">SIGNIFICANT RISK – the worst score </t>
  </si>
  <si>
    <t xml:space="preserve">HIGH RISK - the worst score </t>
  </si>
  <si>
    <t xml:space="preserve">Extreme RISK - the worst score </t>
  </si>
  <si>
    <t>Row</t>
  </si>
  <si>
    <t>REQUIREMENTS TO BE MET</t>
  </si>
  <si>
    <t>EXISTING CONDITIONS</t>
  </si>
  <si>
    <t>Total</t>
  </si>
  <si>
    <t xml:space="preserve">FINAL SCORE   </t>
  </si>
  <si>
    <t xml:space="preserve">2. No historical evidence of major events. </t>
  </si>
  <si>
    <t xml:space="preserve">2. There is a historical evidence of major events  but none in recent times. </t>
  </si>
  <si>
    <t>TC-5 Length</t>
  </si>
  <si>
    <t>Major possible scores</t>
  </si>
  <si>
    <t>Length of the concrete components in [m]</t>
  </si>
  <si>
    <t>Length of the masonry dam in [m]</t>
  </si>
  <si>
    <t>200 to 1,000 m</t>
  </si>
  <si>
    <t>Length of the embankments in [m]</t>
  </si>
  <si>
    <t>Total length</t>
  </si>
  <si>
    <t>SUGGESTED SCORE</t>
  </si>
  <si>
    <t>FINAL SCORE</t>
  </si>
  <si>
    <t>TC-6 Conduits in embankments and overburden abutments/foundations</t>
  </si>
  <si>
    <t>LOW RISK the best score</t>
  </si>
  <si>
    <t>MEDIUM RISK the worst score</t>
  </si>
  <si>
    <t>HIGH RISK the worst score</t>
  </si>
  <si>
    <t>No conduits</t>
  </si>
  <si>
    <r>
      <rPr>
        <b/>
        <sz val="11"/>
        <color theme="1"/>
        <rFont val="Calibri"/>
        <family val="2"/>
      </rPr>
      <t xml:space="preserve">Conduit through the dam body or overburden designed acoording to FEMA Technical Manual: </t>
    </r>
    <r>
      <rPr>
        <b/>
        <i/>
        <sz val="11"/>
        <color theme="1"/>
        <rFont val="Calibri"/>
        <family val="2"/>
      </rPr>
      <t xml:space="preserve">Conduits through Embankment Dams, </t>
    </r>
    <r>
      <rPr>
        <b/>
        <sz val="11"/>
        <color theme="1"/>
        <rFont val="Calibri"/>
        <family val="2"/>
      </rPr>
      <t xml:space="preserve">September 2005 or equivalent. </t>
    </r>
  </si>
  <si>
    <r>
      <rPr>
        <b/>
        <sz val="11"/>
        <color theme="1"/>
        <rFont val="Calibri"/>
        <family val="2"/>
      </rPr>
      <t xml:space="preserve">Conduit through the dam body or overburden foundation not designed acoording FEMA Technical Manual: </t>
    </r>
    <r>
      <rPr>
        <b/>
        <i/>
        <sz val="11"/>
        <color theme="1"/>
        <rFont val="Calibri"/>
        <family val="2"/>
      </rPr>
      <t>Conduits through Embankment Dams</t>
    </r>
    <r>
      <rPr>
        <b/>
        <sz val="11"/>
        <color theme="1"/>
        <rFont val="Calibri"/>
        <family val="2"/>
      </rPr>
      <t xml:space="preserve">, September 2005 or equivalent. </t>
    </r>
  </si>
  <si>
    <t xml:space="preserve"> 1. No conduit present.  
</t>
  </si>
  <si>
    <t>.</t>
  </si>
  <si>
    <t xml:space="preserve">SUGGESTED SCORE              </t>
  </si>
  <si>
    <t>Are all required filters and drainage zones present?</t>
  </si>
  <si>
    <r>
      <rPr>
        <sz val="10"/>
        <color theme="1"/>
        <rFont val="Calibri"/>
        <family val="2"/>
      </rPr>
      <t xml:space="preserve">If the answers to questions 1, 2 and 3 are YES then the </t>
    </r>
    <r>
      <rPr>
        <b/>
        <u/>
        <sz val="10"/>
        <color rgb="FFFF0000"/>
        <rFont val="Calibri"/>
        <family val="2"/>
      </rPr>
      <t>score 0</t>
    </r>
    <r>
      <rPr>
        <sz val="10"/>
        <color theme="1"/>
        <rFont val="Calibri"/>
        <family val="2"/>
      </rPr>
      <t xml:space="preserve"> should be assigned and the score is </t>
    </r>
    <r>
      <rPr>
        <b/>
        <u/>
        <sz val="10"/>
        <color rgb="FFFF0000"/>
        <rFont val="Calibri"/>
        <family val="2"/>
      </rPr>
      <t>final</t>
    </r>
  </si>
  <si>
    <t>Is the documentation supporting the filter design available?</t>
  </si>
  <si>
    <t>Are construction records supporting the as-built characteristics of the materials and records demonstrating that adequate placement and compaction were performed (including measures to eliminate segregation)  available?</t>
  </si>
  <si>
    <t>No filters are present</t>
  </si>
  <si>
    <r>
      <rPr>
        <sz val="10"/>
        <color theme="1"/>
        <rFont val="Calibri"/>
        <family val="2"/>
      </rPr>
      <t xml:space="preserve">If either condition 4 or 5 is present the </t>
    </r>
    <r>
      <rPr>
        <b/>
        <u/>
        <sz val="10"/>
        <color rgb="FFFF0000"/>
        <rFont val="Calibri"/>
        <family val="2"/>
      </rPr>
      <t>score 24</t>
    </r>
    <r>
      <rPr>
        <sz val="10"/>
        <color theme="1"/>
        <rFont val="Calibri"/>
        <family val="2"/>
      </rPr>
      <t xml:space="preserve"> should be assigned and the score is </t>
    </r>
    <r>
      <rPr>
        <b/>
        <u/>
        <sz val="10"/>
        <color rgb="FFFF0000"/>
        <rFont val="Calibri"/>
        <family val="2"/>
      </rPr>
      <t>final</t>
    </r>
  </si>
  <si>
    <t>Critical filter in a high gradient zone (for example, core/chimney filter boundary) is absent.</t>
  </si>
  <si>
    <t>Is this a homogeneous dam with a toe drain and low exit gradient?</t>
  </si>
  <si>
    <r>
      <rPr>
        <sz val="10"/>
        <color theme="1"/>
        <rFont val="Calibri"/>
        <family val="2"/>
      </rPr>
      <t xml:space="preserve">If the answers to question 6 is YES then the </t>
    </r>
    <r>
      <rPr>
        <b/>
        <u/>
        <sz val="10"/>
        <color rgb="FFFF0000"/>
        <rFont val="Calibri"/>
        <family val="2"/>
      </rPr>
      <t>score 10</t>
    </r>
    <r>
      <rPr>
        <sz val="10"/>
        <color theme="1"/>
        <rFont val="Calibri"/>
        <family val="2"/>
      </rPr>
      <t xml:space="preserve"> should be assigned and the score is </t>
    </r>
    <r>
      <rPr>
        <b/>
        <u/>
        <sz val="10"/>
        <color rgb="FFFF0000"/>
        <rFont val="Calibri"/>
        <family val="2"/>
      </rPr>
      <t>final</t>
    </r>
    <r>
      <rPr>
        <sz val="10"/>
        <color theme="1"/>
        <rFont val="Calibri"/>
        <family val="2"/>
      </rPr>
      <t xml:space="preserve"> </t>
    </r>
  </si>
  <si>
    <t>If neither of the above scores applies the final score must be interpolated based on the gradients and following the procedure below</t>
  </si>
  <si>
    <t>Adequate filters were designed and constructed but neither the documentation nor other evidence is available.</t>
  </si>
  <si>
    <r>
      <rPr>
        <b/>
        <u/>
        <sz val="10"/>
        <color rgb="FFFF0000"/>
        <rFont val="Calibri"/>
        <family val="2"/>
      </rPr>
      <t>score between 1 and 10</t>
    </r>
    <r>
      <rPr>
        <b/>
        <u/>
        <sz val="10"/>
        <color rgb="FFFF0000"/>
        <rFont val="Calibri"/>
        <family val="2"/>
      </rPr>
      <t xml:space="preserve"> </t>
    </r>
    <r>
      <rPr>
        <u/>
        <sz val="10"/>
        <color rgb="FFFF0000"/>
        <rFont val="Calibri"/>
        <family val="2"/>
      </rPr>
      <t xml:space="preserve">and the score is </t>
    </r>
    <r>
      <rPr>
        <b/>
        <u/>
        <sz val="10"/>
        <color rgb="FFFF0000"/>
        <rFont val="Calibri"/>
        <family val="2"/>
      </rPr>
      <t>final</t>
    </r>
  </si>
  <si>
    <t xml:space="preserve">Some filters were designed and constructed but neither the documentation neither other evidence is available. </t>
  </si>
  <si>
    <r>
      <rPr>
        <b/>
        <u/>
        <sz val="10"/>
        <color rgb="FFFF0000"/>
        <rFont val="Calibri"/>
        <family val="2"/>
      </rPr>
      <t>score between 10 and 24</t>
    </r>
    <r>
      <rPr>
        <u/>
        <sz val="10"/>
        <color rgb="FFFF0000"/>
        <rFont val="Calibri"/>
        <family val="2"/>
      </rPr>
      <t xml:space="preserve"> and the score is </t>
    </r>
    <r>
      <rPr>
        <b/>
        <u/>
        <sz val="10"/>
        <color rgb="FFFF0000"/>
        <rFont val="Calibri"/>
        <family val="2"/>
      </rPr>
      <t>final</t>
    </r>
  </si>
  <si>
    <t>One of the required filtersis missing from a lower gradient boundary (gradient less than 0.5).</t>
  </si>
  <si>
    <t>It is a homogeneous dam without the toe drain and low exit gradients.</t>
  </si>
  <si>
    <t xml:space="preserve">TC-8 Foundation and Abutments  </t>
  </si>
  <si>
    <t xml:space="preserve"> GOOD – the best score </t>
  </si>
  <si>
    <t xml:space="preserve">MODERATE – the worst  score </t>
  </si>
  <si>
    <t>ADEQUATE - the worst score</t>
  </si>
  <si>
    <t xml:space="preserve">POOR – the worst score </t>
  </si>
  <si>
    <t xml:space="preserve">VERY POOR - the worst score </t>
  </si>
  <si>
    <t>No knowledge about the geology of the site and the subsurface conditions. If this is true, input 1 in the adjacent red-shaded cell in column 6 and TC-8 scoring for BEDROCK is completed. You can begin now the scoring for OVERBURDEN below.</t>
  </si>
  <si>
    <t>Foundation composed of inadequately treated highly weathered or highly fractured rock.</t>
  </si>
  <si>
    <t>Foundation composed of inadequately treated karstic limestone.</t>
  </si>
  <si>
    <t>Foundation composed of inadequately treated rock with gypsum or other soluble minerals.</t>
  </si>
  <si>
    <t>The dam is located in seismic zone IV or V and has liquefiable soils  in the foundation.</t>
  </si>
  <si>
    <t xml:space="preserve"> 4. Partial seepage cutoff and suspect  foundation grouting.</t>
  </si>
  <si>
    <t>6. Very good and reliable drainage system in place.</t>
  </si>
  <si>
    <t xml:space="preserve">SUGGESTED SCORE FOR BEDROCK  </t>
  </si>
  <si>
    <t xml:space="preserve">FINAL SCORE FOR BEDROCK   </t>
  </si>
  <si>
    <t>OVERBURDEN (all structures)</t>
  </si>
  <si>
    <t>ADEQUATE - max score</t>
  </si>
  <si>
    <t xml:space="preserve">POOR – max score </t>
  </si>
  <si>
    <t xml:space="preserve">VERY POOR - max score </t>
  </si>
  <si>
    <t>No knowledge about the geology of the site and the subsurface conditions. If this is true, input 1 in the adjacent red-shaded cell in column 6 and TC-8 assessment for OVERBURDEN is completed. Therfore, TC-8 assessment is completed.</t>
  </si>
  <si>
    <t>Start with  the existing conditions listed in column 6 in rows 2 to 6. 
If any of these conditions is present mark appropriate cell in column 7 and the OVERBURDEN assessment is completed.</t>
  </si>
  <si>
    <t>Foundation composed of inadequately treated dispersive soils.</t>
  </si>
  <si>
    <r>
      <rPr>
        <sz val="10"/>
        <color rgb="FFFF0000"/>
        <rFont val="Calibri"/>
        <family val="2"/>
      </rPr>
      <t>Permeability in excess of 10</t>
    </r>
    <r>
      <rPr>
        <vertAlign val="superscript"/>
        <sz val="10"/>
        <color rgb="FFFF0000"/>
        <rFont val="Calibri"/>
        <family val="2"/>
      </rPr>
      <t>-3</t>
    </r>
    <r>
      <rPr>
        <sz val="10"/>
        <color rgb="FFFF0000"/>
        <rFont val="Calibri"/>
        <family val="2"/>
      </rPr>
      <t xml:space="preserve"> cm/s with no seepage control measures.</t>
    </r>
  </si>
  <si>
    <t>No foundation filter when exit gradient in excess of 0.1</t>
  </si>
  <si>
    <t>Unfiltered exit gradient greater than 0.5 in highly weathered or highly fractured rocks.</t>
  </si>
  <si>
    <t>NOT AVAILABLE</t>
  </si>
  <si>
    <t xml:space="preserve"> 6. Suspect or inadequate drainage system in place.</t>
  </si>
  <si>
    <t xml:space="preserve"> 9. Anticipated high exit gradients and uplift pressures with inadequate foundation pressure relief or drainage system.</t>
  </si>
  <si>
    <t xml:space="preserve">SUGGESTED SCORE FOR OVERBURDEN   </t>
  </si>
  <si>
    <t xml:space="preserve">FINAL SCORE FOR OVRBURDEN   </t>
  </si>
  <si>
    <t xml:space="preserve">Exisitng Conditions </t>
  </si>
  <si>
    <t>Exisitng Conditions</t>
  </si>
  <si>
    <t>EC-1 Seismic resistance</t>
  </si>
  <si>
    <t>Open the worksheet EC-1 Seismic design</t>
  </si>
  <si>
    <t>EC-7 Spillway structure</t>
  </si>
  <si>
    <t>Open the worksheet EC-8 Spillway structure</t>
  </si>
  <si>
    <t>Seismic safety requirements met at the time of design but no longer valid</t>
  </si>
  <si>
    <t xml:space="preserve">Poor </t>
  </si>
  <si>
    <r>
      <rPr>
        <b/>
        <sz val="10"/>
        <color theme="1"/>
        <rFont val="Calibri"/>
        <family val="2"/>
      </rPr>
      <t>EC-2</t>
    </r>
    <r>
      <rPr>
        <b/>
        <sz val="10"/>
        <color rgb="FFFF0000"/>
        <rFont val="Calibri"/>
        <family val="2"/>
      </rPr>
      <t xml:space="preserve"> </t>
    </r>
    <r>
      <rPr>
        <b/>
        <sz val="10"/>
        <color theme="1"/>
        <rFont val="Calibri"/>
        <family val="2"/>
      </rPr>
      <t>Available</t>
    </r>
    <r>
      <rPr>
        <b/>
        <strike/>
        <sz val="10"/>
        <color theme="1"/>
        <rFont val="Calibri"/>
        <family val="2"/>
      </rPr>
      <t xml:space="preserve"> </t>
    </r>
    <r>
      <rPr>
        <b/>
        <sz val="10"/>
        <color theme="1"/>
        <rFont val="Calibri"/>
        <family val="2"/>
      </rPr>
      <t xml:space="preserve">flow discharge capacity </t>
    </r>
  </si>
  <si>
    <t>Follow the guidance provided in User's Manual - Section 6.EC WORKSHEET</t>
  </si>
  <si>
    <t>EC-8 Masonry</t>
  </si>
  <si>
    <t>Open the worksheet EC-9 Masonry</t>
  </si>
  <si>
    <t xml:space="preserve">Discharge capacity is 100% of the design flood </t>
  </si>
  <si>
    <t xml:space="preserve">Good 
</t>
  </si>
  <si>
    <t xml:space="preserve">Very Poor </t>
  </si>
  <si>
    <t>EC-9 Embankment, abutments and foundations</t>
  </si>
  <si>
    <t>Open the worksheet EC-10 Embankment, abutment and foundation</t>
  </si>
  <si>
    <t>EC-3 Actual flow discharge equipment conditions</t>
  </si>
  <si>
    <t>Open the worksheet EC-3 Flow discharge equipment condition</t>
  </si>
  <si>
    <t>Good</t>
  </si>
  <si>
    <t xml:space="preserve">Very poor </t>
  </si>
  <si>
    <t>Very Poor</t>
  </si>
  <si>
    <t>EC-4 Back-up power</t>
  </si>
  <si>
    <t>Open the worksheet EC-4 Back-up power</t>
  </si>
  <si>
    <t>Reliable back-up power available at site</t>
  </si>
  <si>
    <t>Reliable back-up power available at neighboring site</t>
  </si>
  <si>
    <t>Back-up power not available</t>
  </si>
  <si>
    <t>EC-5 Access to site</t>
  </si>
  <si>
    <t>Open the worksheet EC-5 Access to site</t>
  </si>
  <si>
    <t xml:space="preserve">Total EC score </t>
  </si>
  <si>
    <t>Site accessible at all weather conditions</t>
  </si>
  <si>
    <t>Site not accessible during inclement weather conditions</t>
  </si>
  <si>
    <t>EC-6 Concrete gravity</t>
  </si>
  <si>
    <t>Open the worksheet EC-7 Concrete gravity</t>
  </si>
  <si>
    <t>Class A Designation</t>
  </si>
  <si>
    <t>Reasons for Class A designation - see worksheet E10 Embankment</t>
  </si>
  <si>
    <t xml:space="preserve">Adequate </t>
  </si>
  <si>
    <t>Is this dam classified as Class A Structure  [YES/NO]</t>
  </si>
  <si>
    <r>
      <rPr>
        <sz val="11"/>
        <color theme="1"/>
        <rFont val="Calibri"/>
        <family val="2"/>
      </rPr>
      <t xml:space="preserve">Class A Designation Conditions per CWC Guidelines for Risk Assessment (February, 2019)
1. Dam is under an order to reduce reservoir level
2. Full or partial evacuation order in place
3. Dam is considered to be in the imminent danger of failing
4. Any of the four indicative conditions listed above in </t>
    </r>
    <r>
      <rPr>
        <b/>
        <sz val="11"/>
        <color rgb="FFFF0000"/>
        <rFont val="Calibri"/>
        <family val="2"/>
      </rPr>
      <t xml:space="preserve">red bolded font </t>
    </r>
    <r>
      <rPr>
        <sz val="11"/>
        <color theme="1"/>
        <rFont val="Calibri"/>
        <family val="2"/>
      </rPr>
      <t>exists</t>
    </r>
  </si>
  <si>
    <t>EC-1 Seismic Resistance</t>
  </si>
  <si>
    <t xml:space="preserve">GOOD – the best score </t>
  </si>
  <si>
    <t xml:space="preserve">MODERATE – the worst score </t>
  </si>
  <si>
    <t>POOR - the worst score</t>
  </si>
  <si>
    <t>Seismic design meeting current dam safety requirements</t>
  </si>
  <si>
    <t>Seismic safety not considered at the time of design</t>
  </si>
  <si>
    <t>CONDITIONS PRESENT</t>
  </si>
  <si>
    <t>3. Dam does not need any upgrades to improve the resistance.</t>
  </si>
  <si>
    <t>3. Dam needs some, limited upgrades to improve the resistance.</t>
  </si>
  <si>
    <t>3. Dam needs major upgrades to improve the resistance.</t>
  </si>
  <si>
    <t>ADEQUATE -the worst  score</t>
  </si>
  <si>
    <t xml:space="preserve">POOR – the worst  score </t>
  </si>
  <si>
    <t xml:space="preserve">VERY POOR - the worst  score </t>
  </si>
  <si>
    <t>Equipment fully functional</t>
  </si>
  <si>
    <t>Equipment functionality adequate</t>
  </si>
  <si>
    <t>Overall functionality no more adequate</t>
  </si>
  <si>
    <t>Overall functionality seriously compromised</t>
  </si>
  <si>
    <t xml:space="preserve"> 1. All hydraulic and electro-mechanical components regularly tested and maintained as per regulatory/dam owner's requirements.</t>
  </si>
  <si>
    <t xml:space="preserve"> 1.No established testing and maintenance program for hydraulic and electro-mechanical components.</t>
  </si>
  <si>
    <t>1.Testing and maintenance of hydraulic and electro-mechanical components carried out infrequently and on a sporadic basis.</t>
  </si>
  <si>
    <t>1. No testing and no maintenance of hydraulic and electro-mechanical components.</t>
  </si>
  <si>
    <t xml:space="preserve"> 2. All structural components in excellent conditions.</t>
  </si>
  <si>
    <t xml:space="preserve"> 2. Signs of moderate structural deterioration.</t>
  </si>
  <si>
    <t xml:space="preserve"> 2. Signs of serious structural deterioration - corrosion and cavitation of metal components.</t>
  </si>
  <si>
    <t xml:space="preserve"> 2. Evidence of extensive deterioration - some pieces of critical equipment approaching failure state and missing and broken non-critical parts.</t>
  </si>
  <si>
    <t xml:space="preserve"> 3. Equipment has not exhibited any operational or maintenance problems.</t>
  </si>
  <si>
    <t xml:space="preserve"> 3. Minor problems that were easily and quickly fixed but frequency steadily but slowly  increasing in the past 5 years.</t>
  </si>
  <si>
    <t xml:space="preserve"> 3. Substantial number of moderate problems requiring longer repair times.</t>
  </si>
  <si>
    <t xml:space="preserve"> 3. Frequency of equipment failures rapidly increasing in the past 5 years.</t>
  </si>
  <si>
    <t>5. No potential for blockage of sluiceways or outlets by debris.</t>
  </si>
  <si>
    <t>5. Only limited and partial blockage of sluiceways or outlets by debris is possible.</t>
  </si>
  <si>
    <t>5. Extensive blockage of sluiceways or outlets by debris possible.</t>
  </si>
  <si>
    <t>5. High potential for extensive blockage of sluiceways or outlets.</t>
  </si>
  <si>
    <t xml:space="preserve">SUGGESTED SCORE    </t>
  </si>
  <si>
    <t xml:space="preserve">FINAL  SCORE    </t>
  </si>
  <si>
    <t>EC-4 Back-up Power</t>
  </si>
  <si>
    <t>GOOD – the best score</t>
  </si>
  <si>
    <t xml:space="preserve">ADEQUATE – the worst score </t>
  </si>
  <si>
    <t>POOR - the worst scoree</t>
  </si>
  <si>
    <t>Back-up power available at the site</t>
  </si>
  <si>
    <t>Back-up power available at the neighbouring site</t>
  </si>
  <si>
    <t>EC-5 Access to Site</t>
  </si>
  <si>
    <t>Site accessible at all weather conditions owner’s requirements</t>
  </si>
  <si>
    <t>3. Site has staff at the site 24/7 and time to reach the site from the outside is less than 2 hours.</t>
  </si>
  <si>
    <t>3. There is no permanent staff at the iste and the time to reach the site from the outide is more than 2 hours.</t>
  </si>
  <si>
    <t>4. Access to control room and other critical dam safety equipment at the site available at all conditions</t>
  </si>
  <si>
    <t>4. Access to control room nad other critical dam safety equipment at the site difficult or impossible in some conditions</t>
  </si>
  <si>
    <t xml:space="preserve">GOOD –the best score </t>
  </si>
  <si>
    <t xml:space="preserve">INTERMEDIATE – the worst score </t>
  </si>
  <si>
    <t>VERY POOR - the worst score</t>
  </si>
  <si>
    <t>Cracking</t>
  </si>
  <si>
    <t>Foundation drains</t>
  </si>
  <si>
    <t>Concrete deterioration</t>
  </si>
  <si>
    <t>Wet surfaces</t>
  </si>
  <si>
    <t>Leaching</t>
  </si>
  <si>
    <t xml:space="preserve">14. Numerous indications of weakening rock foundation and abutments that require remedial stabilization. </t>
  </si>
  <si>
    <t>Anchors</t>
  </si>
  <si>
    <t>Instrumentation</t>
  </si>
  <si>
    <t>ADEQUATE – the worst score</t>
  </si>
  <si>
    <t>POOR – the worst score</t>
  </si>
  <si>
    <t>Displacements and offsets</t>
  </si>
  <si>
    <t xml:space="preserve"> 1. None.</t>
  </si>
  <si>
    <t xml:space="preserve"> 1. Only minor.</t>
  </si>
  <si>
    <t xml:space="preserve"> 1. Small number of medium size.</t>
  </si>
  <si>
    <t xml:space="preserve"> 1. Large and numerous.</t>
  </si>
  <si>
    <t xml:space="preserve"> 2. None or only hairline.</t>
  </si>
  <si>
    <t xml:space="preserve"> 2. Minor increase in size of limited number of cracks.</t>
  </si>
  <si>
    <t xml:space="preserve"> 2. Large cracks present</t>
  </si>
  <si>
    <t xml:space="preserve"> 2.Extensive and deep cracking with exposed rebars.</t>
  </si>
  <si>
    <t>Joints</t>
  </si>
  <si>
    <t xml:space="preserve"> 3. No loss of joint material.</t>
  </si>
  <si>
    <t xml:space="preserve"> 3. Minor loss of joint material.</t>
  </si>
  <si>
    <t xml:space="preserve"> 3. Loss of joint material significantly increasing with time.</t>
  </si>
  <si>
    <t>3. Loss of substantial amount of joint material.</t>
  </si>
  <si>
    <t>Erosion</t>
  </si>
  <si>
    <t xml:space="preserve"> 4. No erosion (e.g. undercutting).</t>
  </si>
  <si>
    <t xml:space="preserve"> 4. Signs of initiation of erosion (e.g. undercutting).</t>
  </si>
  <si>
    <t xml:space="preserve"> 4. Progressing erosion (e.g. undercutting).</t>
  </si>
  <si>
    <t>Energy dissipators</t>
  </si>
  <si>
    <t xml:space="preserve">EC-8 Masonry Dam </t>
  </si>
  <si>
    <t>INTERMEDIATE – the worst score</t>
  </si>
  <si>
    <t>Foundation and dam body drains</t>
  </si>
  <si>
    <t>Mortar deterioration</t>
  </si>
  <si>
    <t xml:space="preserve"> 8. Numerous moderate moist or wet surfaces on on the downstream face.</t>
  </si>
  <si>
    <t xml:space="preserve">FINAL  SCORE   </t>
  </si>
  <si>
    <t>EC-9 Embankment, Abutments and Foundation</t>
  </si>
  <si>
    <t>Mass movement</t>
  </si>
  <si>
    <t xml:space="preserve"> 1.  Limited signs of some mass movement in the form of minor slope irregularities.</t>
  </si>
  <si>
    <t xml:space="preserve"> 1. Ongoing slope deterioration (disintegrating riprap, deep gullying, beached upstream slope).</t>
  </si>
  <si>
    <t xml:space="preserve"> 2. Localized discontinuous longitudinal cracks.</t>
  </si>
  <si>
    <t xml:space="preserve"> 2. Indicators of mass movement (settlement, obvious irregularities of slope, numerous significant longitudinal cracks, bulges in slope, significant crest sagging, bent tree trunks, misaligned guard rails). </t>
  </si>
  <si>
    <t>Sinkholes</t>
  </si>
  <si>
    <t xml:space="preserve"> 4. Only few old and small sinkholes.</t>
  </si>
  <si>
    <t>Seepage</t>
  </si>
  <si>
    <t xml:space="preserve"> 9. Local minor concentrated seepage at the toe of the dam through the foundation.</t>
  </si>
  <si>
    <t xml:space="preserve"> 9. Local concentrated seepage at the toe of the dam through the foundation not increasing with time.</t>
  </si>
  <si>
    <t>Foundation</t>
  </si>
  <si>
    <t>10. No signs of foundation movement.</t>
  </si>
  <si>
    <t>10. Extensive foundation movement.</t>
  </si>
  <si>
    <t>11. Medium foundation pressures increasing with time.</t>
  </si>
  <si>
    <t xml:space="preserve">11. High foundation pressures. </t>
  </si>
  <si>
    <t>12. Few instruments missing (or not working). Treshold levels not established for all instruments.</t>
  </si>
  <si>
    <t>12. Some instruments missing (or not working). Some of the treshold levels missing.</t>
  </si>
  <si>
    <t xml:space="preserve">13. Instrumentation readings not demonstrating any adverse trends. </t>
  </si>
  <si>
    <t>13. Instrumentation begins to show adverse trends (uplift pressures, stress and strain, seismic activity, etc.).</t>
  </si>
  <si>
    <t>Other</t>
  </si>
  <si>
    <t>15. No signs of animal burrowing and vegetation adequately controlled</t>
  </si>
  <si>
    <t>15. Vegetation growth and animal burrowing present but adequately controlled.</t>
  </si>
  <si>
    <t>15. Inadequate control of vegetation growth and animal burrowing.</t>
  </si>
  <si>
    <t>16. Changes in phreatic surface on the downstream face of the dam always caused by the varying reservoir level.</t>
  </si>
  <si>
    <t>16. Moderate phreatic surface rise  on the downstream face of the dam with time indepently of reservoir level.</t>
  </si>
  <si>
    <t>Safety Plans Scoring</t>
  </si>
  <si>
    <t>1-Design documentation</t>
  </si>
  <si>
    <t>Open the worksheet SP-1 Documentation</t>
  </si>
  <si>
    <t>2-Operations &amp; Maintenance  (O&amp;M) Manual</t>
  </si>
  <si>
    <t xml:space="preserve">Open the worksheet SP-2 O&amp;M Manual </t>
  </si>
  <si>
    <t xml:space="preserve">Open the worksheet SP-3 EAP </t>
  </si>
  <si>
    <t>The plan is in place and is regularly exercised and the public is aware.</t>
  </si>
  <si>
    <t>Not all elements required by adequate EPP are included.</t>
  </si>
  <si>
    <t>EPP not developed or implemented.</t>
  </si>
  <si>
    <t>4-Organization, staffing and technical competence</t>
  </si>
  <si>
    <t>Open the worksheet SP-4 Organization</t>
  </si>
  <si>
    <t>5-Safety inspection reporting and monitoring procedures</t>
  </si>
  <si>
    <t>Open the worksheet SP-5 Safety inspections</t>
  </si>
  <si>
    <t>The dam has an effective and compliant program.</t>
  </si>
  <si>
    <t>The program missing some of the essential elements.</t>
  </si>
  <si>
    <t>Significant ommissions in the program or implementation inadequate.</t>
  </si>
  <si>
    <t>Lack of an organized and well lead program.</t>
  </si>
  <si>
    <t>6-Dam Safety Reports with analysis and interpretation</t>
  </si>
  <si>
    <t>Open the worksheet SP-6 Dam Safety Reports</t>
  </si>
  <si>
    <t>1. Reports submitted periodically in accordance with regulation/owner's dam safety program and
2. All recommendations are tracked.</t>
  </si>
  <si>
    <t>In the absence of periodic Dam Safety Reviews providing Dam Safety Reports, the term 'Reports' means the pre-monsoon and post-monsoon inspection reports</t>
  </si>
  <si>
    <t>1. Reports submitted irregularly or
2. Not all recommendations are tracked.</t>
  </si>
  <si>
    <t>Reports not submitted.</t>
  </si>
  <si>
    <t>7-Follow-up actions</t>
  </si>
  <si>
    <t>Open the worksheet SP-7 Follow up</t>
  </si>
  <si>
    <t>Actions taken as per Dam Safety Report and all critical deficiencies addressed.</t>
  </si>
  <si>
    <t>Actions taken as per Dam Safety Report and all critical deficiencies being addressed but not eliminated yet.</t>
  </si>
  <si>
    <t>Only most important deficiencies as per Dam Safety Report are being addressed.</t>
  </si>
  <si>
    <t>No corrective actions taken as per Dam Safety Report.</t>
  </si>
  <si>
    <t>8-River System operation</t>
  </si>
  <si>
    <t>Open the worksheet SP-8 System operation</t>
  </si>
  <si>
    <t>Free overflow spillway or detailed river system  operational strategy in place</t>
  </si>
  <si>
    <t>Incomplete river system operational strategy</t>
  </si>
  <si>
    <t>No river system operational strategy</t>
  </si>
  <si>
    <t xml:space="preserve">Total SP score </t>
  </si>
  <si>
    <t>SP-1 Documentation</t>
  </si>
  <si>
    <t>Row/     Column</t>
  </si>
  <si>
    <t xml:space="preserve">ADEQUATE - the worst score </t>
  </si>
  <si>
    <t>Robust rexords</t>
  </si>
  <si>
    <t>Some records</t>
  </si>
  <si>
    <t>Few or no records</t>
  </si>
  <si>
    <t xml:space="preserve"> 1. Detailed design drawings, plans, specs and complete constructions records including as-built documentation.</t>
  </si>
  <si>
    <t xml:space="preserve"> 1. Only basic design drawings and specs or conceptual design level documentation.</t>
  </si>
  <si>
    <t xml:space="preserve"> 1. No or partial, incomplete and very limited records.</t>
  </si>
  <si>
    <t>SP-2 Operations and Maintenance Manual</t>
  </si>
  <si>
    <t>O&amp;M Manual in place</t>
  </si>
  <si>
    <t>O&amp;M Manual incomplete and only some of the elements below are present in the  Manual</t>
  </si>
  <si>
    <t xml:space="preserve">No O&amp;M Manual </t>
  </si>
  <si>
    <t>CONDItiONS</t>
  </si>
  <si>
    <t xml:space="preserve"> 1 Information limited(location, and the description of dam with basic drawings and photos, collection and reporting of dam and reservoir data, public safety arrangements, supporting documents and reference material).</t>
  </si>
  <si>
    <t xml:space="preserve"> 1. O&amp;M Manual not developed or implemented.
</t>
  </si>
  <si>
    <t xml:space="preserve"> 2. Assignment of roles and responsibilities, staffing, communication and warning.</t>
  </si>
  <si>
    <t xml:space="preserve"> 3. Schedule of operations and maintenance duties.</t>
  </si>
  <si>
    <t xml:space="preserve"> 4. Operation (general operation plan, normal operation, instructions for operation of control mechanisms, operation of the reservoir, flood release procedure, inflow forecasting, emergency operation, drawdown facility and procedure, first filling of reservoir, record keeping).</t>
  </si>
  <si>
    <t xml:space="preserve"> 5. Inspections (informal, scheduled, special, comprehensive evaluation).</t>
  </si>
  <si>
    <t xml:space="preserve"> 6. Maintenance (plan, priorities, material and staffing requirements).</t>
  </si>
  <si>
    <t xml:space="preserve"> 7. Instrumentation and monitoring (instrumentation types and usage, Automated Data-Acquisition Systems, frequency of monitoring, data processing and evaluation). </t>
  </si>
  <si>
    <t>SP-3 Emergency Action Plan</t>
  </si>
  <si>
    <t>Requirement: the Plan contains detailed information on:</t>
  </si>
  <si>
    <t>Column/
Row</t>
  </si>
  <si>
    <t>1. Identification of owner’s personnel and outside organizations that can render assistance in interventions arresting developing dam failure.</t>
  </si>
  <si>
    <t>2. Location and quantities of supplies and equipment available for use in remedial actions, preferably as close as possible to the dam.</t>
  </si>
  <si>
    <t xml:space="preserve"> 3. Arrangements for emergency procurement of supplies and equipment needed for remedial actions.</t>
  </si>
  <si>
    <t xml:space="preserve"> 4. Identification of remedial construction and other activities that should be done to prevent a failure of the dam together with identification of personnel who will carry them out (including specific contact names along with their function, their business or agency, and contact information).</t>
  </si>
  <si>
    <t xml:space="preserve">FINAL SCORE     </t>
  </si>
  <si>
    <t>SP-4 Organization, Staffing and Competence</t>
  </si>
  <si>
    <t>INTERMEDIATE - the worst score</t>
  </si>
  <si>
    <t xml:space="preserve">Fully staffed organization with appropriate qualifications </t>
  </si>
  <si>
    <t>Most of but not all required staff and qualifications are in place</t>
  </si>
  <si>
    <t>Insufficient leadership, insufficient staffing, organizational structure not appropriate</t>
  </si>
  <si>
    <t xml:space="preserve"> 1. Well developed organizational structure led by dam safety engineer.</t>
  </si>
  <si>
    <t xml:space="preserve"> 1. Incomplete organizational structure led by dam safety technician.</t>
  </si>
  <si>
    <t xml:space="preserve"> 1. No or inadequate organizational structure, insufficient leadership.</t>
  </si>
  <si>
    <t>2. Sufficient staff in place.</t>
  </si>
  <si>
    <t>2. Not all staff  in place.</t>
  </si>
  <si>
    <t xml:space="preserve"> 2. Insufficient staffing.</t>
  </si>
  <si>
    <t>3. All staff fully competent with appropriate training and experience.</t>
  </si>
  <si>
    <t>3. Not  all qualifications are in place.</t>
  </si>
  <si>
    <t xml:space="preserve"> 3. Insufficient qualifications of staff.</t>
  </si>
  <si>
    <t>(SP-5) Safety Inspections, Monitoring and Reporting  Procedures</t>
  </si>
  <si>
    <t>The dam has an effective and compliant program</t>
  </si>
  <si>
    <t>inspection, surveillance and monitoring program missing some of the essential elements</t>
  </si>
  <si>
    <t>Significant ommissions in the program or implementation inadequate</t>
  </si>
  <si>
    <t>Lack of an organized and well lead program</t>
  </si>
  <si>
    <t>CONDITIONS</t>
  </si>
  <si>
    <t xml:space="preserve"> 1. Inspection, surveillance and monitoring procedures are incomplete.</t>
  </si>
  <si>
    <t xml:space="preserve"> 1. No inspection, surveillance and monitoring procedures. </t>
  </si>
  <si>
    <t xml:space="preserve"> 2. Inspections are irregular or ad hoc.</t>
  </si>
  <si>
    <t>3. Analysis of results and reporting executed in timely manner.</t>
  </si>
  <si>
    <t xml:space="preserve"> 3. Analysis of results and reporting sometimes delayed.</t>
  </si>
  <si>
    <t xml:space="preserve"> 3. Significant delays in analysis and reporting.</t>
  </si>
  <si>
    <t xml:space="preserve">3. Analysis of results not always done or large delays in analysis and reporting. </t>
  </si>
  <si>
    <t>SP-6 Dam Safety Reports with Analysis and Interpretation</t>
  </si>
  <si>
    <t>INTERMEDIATE- the worst score</t>
  </si>
  <si>
    <t xml:space="preserve">Compliant and active reporting program </t>
  </si>
  <si>
    <t>Incomplete program</t>
  </si>
  <si>
    <t>No or inferior program</t>
  </si>
  <si>
    <t>2. Complete safety assessment is included.</t>
  </si>
  <si>
    <t xml:space="preserve">2. Reports incomplete in terms of adequate safety characterization. </t>
  </si>
  <si>
    <t>2. Reports inadequate in termsd of safety characterization.</t>
  </si>
  <si>
    <t xml:space="preserve"> 3. All recommendations are tracked.</t>
  </si>
  <si>
    <t>3. Not all recommendations are tracked.</t>
  </si>
  <si>
    <t>(SP-7) Follow-up Actions</t>
  </si>
  <si>
    <t>Effective and compliant program</t>
  </si>
  <si>
    <t>All critical deficiencies being addressed</t>
  </si>
  <si>
    <t>Only most important deficiencies are being addressed</t>
  </si>
  <si>
    <t>Lack of organized and well lead program and risks persist over time</t>
  </si>
  <si>
    <t xml:space="preserve">1. No corrective actions taken.
</t>
  </si>
  <si>
    <t xml:space="preserve"> 2. Prioritization based on criticality and urgency of addressed critical deficiencies not completed.</t>
  </si>
  <si>
    <t xml:space="preserve">SUGGESTED SCORE        </t>
  </si>
  <si>
    <t>SP-8  River System Operation</t>
  </si>
  <si>
    <t>River system operational strategy in place</t>
  </si>
  <si>
    <t xml:space="preserve">No or incomplete river system operational strategy and only some coordination of releases </t>
  </si>
  <si>
    <t>Dam is the only dam within the river system</t>
  </si>
  <si>
    <t>2. Deviations from the existing rule curve had to be occasionaly applied in the past.</t>
  </si>
  <si>
    <t>2. Deviations from the existing rule curve had to be frequently applied in the past.</t>
  </si>
  <si>
    <t>3. Only reliable  inflow forecasts are available.</t>
  </si>
  <si>
    <t>3. Poor quality of forecasts.</t>
  </si>
  <si>
    <t>4. Access to control room difficult in some conditions.</t>
  </si>
  <si>
    <t>4. No access to control room in some conditions.</t>
  </si>
  <si>
    <t>Input PAR into this cell</t>
  </si>
  <si>
    <t xml:space="preserve">1-Population at Risk (PAR) </t>
  </si>
  <si>
    <t>None</t>
  </si>
  <si>
    <t>PAR &lt; 100</t>
  </si>
  <si>
    <t>100 &lt; PAR &lt; 1,000</t>
  </si>
  <si>
    <t>1,000 &lt; PAR &lt; 10,000</t>
  </si>
  <si>
    <t>10,000 &lt; PAR &lt; 100,000</t>
  </si>
  <si>
    <t>100,000 &lt; PAR &lt; 1,000,000</t>
  </si>
  <si>
    <t>1,000,000 &lt; PAR &lt; 10,000,000</t>
  </si>
  <si>
    <t>2-Environmental impacts</t>
  </si>
  <si>
    <t>Minimal</t>
  </si>
  <si>
    <t>Moderate</t>
  </si>
  <si>
    <t xml:space="preserve">High </t>
  </si>
  <si>
    <t>Very High</t>
  </si>
  <si>
    <r>
      <rPr>
        <b/>
        <sz val="10"/>
        <color theme="1"/>
        <rFont val="Calibri"/>
        <family val="2"/>
      </rPr>
      <t>Extreme</t>
    </r>
    <r>
      <rPr>
        <sz val="10"/>
        <color theme="1"/>
        <rFont val="Calibri"/>
        <family val="2"/>
      </rPr>
      <t xml:space="preserve"> </t>
    </r>
  </si>
  <si>
    <t>3-Socio-economic impacts</t>
  </si>
  <si>
    <r>
      <rPr>
        <b/>
        <sz val="10"/>
        <color theme="1"/>
        <rFont val="Calibri"/>
        <family val="2"/>
      </rPr>
      <t>Minimal</t>
    </r>
    <r>
      <rPr>
        <sz val="10"/>
        <color theme="1"/>
        <rFont val="Calibri"/>
        <family val="2"/>
      </rPr>
      <t xml:space="preserve">
Overall impact moderate and of strictly local nature</t>
    </r>
  </si>
  <si>
    <r>
      <rPr>
        <b/>
        <sz val="10"/>
        <color theme="1"/>
        <rFont val="Calibri"/>
        <family val="2"/>
      </rPr>
      <t>Moderate</t>
    </r>
    <r>
      <rPr>
        <sz val="10"/>
        <color theme="1"/>
        <rFont val="Calibri"/>
        <family val="2"/>
      </rPr>
      <t xml:space="preserve"> 
Overall impact moderate and of strictly local nature</t>
    </r>
  </si>
  <si>
    <r>
      <rPr>
        <b/>
        <sz val="10"/>
        <color theme="1"/>
        <rFont val="Calibri"/>
        <family val="2"/>
      </rPr>
      <t>High</t>
    </r>
    <r>
      <rPr>
        <sz val="10"/>
        <color theme="1"/>
        <rFont val="Calibri"/>
        <family val="2"/>
      </rPr>
      <t xml:space="preserve"> 
Overall impact significant and affecting the  wider region</t>
    </r>
  </si>
  <si>
    <r>
      <rPr>
        <b/>
        <sz val="10"/>
        <color theme="1"/>
        <rFont val="Calibri"/>
        <family val="2"/>
      </rPr>
      <t xml:space="preserve">Very High </t>
    </r>
    <r>
      <rPr>
        <sz val="10"/>
        <color theme="1"/>
        <rFont val="Calibri"/>
        <family val="2"/>
      </rPr>
      <t xml:space="preserve">
Overall impact significant and affecting the  entire state</t>
    </r>
  </si>
  <si>
    <r>
      <rPr>
        <b/>
        <sz val="10"/>
        <color theme="1"/>
        <rFont val="Calibri"/>
        <family val="2"/>
      </rPr>
      <t xml:space="preserve">Extreme </t>
    </r>
    <r>
      <rPr>
        <sz val="10"/>
        <color theme="1"/>
        <rFont val="Calibri"/>
        <family val="2"/>
      </rPr>
      <t xml:space="preserve">
Overall impact catastrophic for the state and with wider national implications</t>
    </r>
  </si>
  <si>
    <t>Large dam downstream</t>
  </si>
  <si>
    <t>Can the dam breach cause cascading  failure of downstream dams (YES/NO)</t>
  </si>
  <si>
    <t>NO</t>
  </si>
  <si>
    <t>YES</t>
  </si>
  <si>
    <t xml:space="preserve">Total PI score </t>
  </si>
  <si>
    <t>PH-2 Environmental Impacts</t>
  </si>
  <si>
    <t xml:space="preserve">MINIMAL – the best core </t>
  </si>
  <si>
    <t xml:space="preserve">MODERATE– the worst score </t>
  </si>
  <si>
    <t>HIGH - the worst score</t>
  </si>
  <si>
    <t>VERY HIGH – the worst score</t>
  </si>
  <si>
    <t>EXTREME - the worst score</t>
  </si>
  <si>
    <t>ANTICIPATED ADVERSE EFFECTS</t>
  </si>
  <si>
    <t xml:space="preserve"> 1. No presence of rare, protected or endangered species protected under the WPA  
</t>
  </si>
  <si>
    <r>
      <rPr>
        <sz val="10"/>
        <color theme="1"/>
        <rFont val="Calibri"/>
        <family val="2"/>
      </rPr>
      <t xml:space="preserve">  </t>
    </r>
    <r>
      <rPr>
        <sz val="10"/>
        <color theme="1"/>
        <rFont val="Calibri"/>
        <family val="2"/>
      </rPr>
      <t>1. Only sporadic and limited presence of rare, protected or endangered species protected under the WPA and there are no protected areas.</t>
    </r>
  </si>
  <si>
    <t xml:space="preserve"> 1. If rare, protected or endangered species protected under the WPA are present the numbers are not more than 10 species or 100 individuals.</t>
  </si>
  <si>
    <t xml:space="preserve"> 1. If rare, protected or endangered species protected under the WPA are present the numbers are not more than 50 species or 500 individuals.</t>
  </si>
  <si>
    <t xml:space="preserve"> 1. Extensive (more than 50 species or more than 500 individuals) presence of rare, protected or endangered species protected under the WPA.</t>
  </si>
  <si>
    <t xml:space="preserve"> 2. There are no protected areas (national park, wildlife sanctuary, biosphere reserve, conservation reserve, reserved and protected forests, eco-sensitive area of any size). </t>
  </si>
  <si>
    <r>
      <rPr>
        <sz val="10"/>
        <color theme="1"/>
        <rFont val="Calibri"/>
        <family val="2"/>
      </rPr>
      <t xml:space="preserve"> 2. Only a single protected area (national park, wildlife sanctuary, biosphere reserve, conservation reserve, reserved and protected forests, eco-sensitive area smaller than 10 km</t>
    </r>
    <r>
      <rPr>
        <vertAlign val="superscript"/>
        <sz val="10"/>
        <color theme="1"/>
        <rFont val="Calibri"/>
        <family val="2"/>
      </rPr>
      <t>2</t>
    </r>
    <r>
      <rPr>
        <sz val="10"/>
        <color theme="1"/>
        <rFont val="Calibri"/>
        <family val="2"/>
      </rPr>
      <t xml:space="preserve">). </t>
    </r>
  </si>
  <si>
    <r>
      <rPr>
        <sz val="10"/>
        <color theme="1"/>
        <rFont val="Calibri"/>
        <family val="2"/>
      </rPr>
      <t xml:space="preserve"> 2. Presence of a single protected area (national park, wildlife sanctuary, biosphere reserve, conservation reserve, reserved and protected forests, eco-sensitive area larger than 10 km</t>
    </r>
    <r>
      <rPr>
        <vertAlign val="superscript"/>
        <sz val="10"/>
        <color theme="1"/>
        <rFont val="Calibri"/>
        <family val="2"/>
      </rPr>
      <t>2</t>
    </r>
    <r>
      <rPr>
        <sz val="10"/>
        <color theme="1"/>
        <rFont val="Calibri"/>
        <family val="2"/>
      </rPr>
      <t xml:space="preserve">. </t>
    </r>
  </si>
  <si>
    <r>
      <rPr>
        <sz val="10"/>
        <color theme="1"/>
        <rFont val="Calibri"/>
        <family val="2"/>
      </rPr>
      <t xml:space="preserve"> 2. If protected areas (national park, wildlife sanctuary, biosphere reserve, conservation reserve, reserved and protected forests, eco-sensitive area) are present the numbers are not more than 2 areas, each less than 20 km</t>
    </r>
    <r>
      <rPr>
        <vertAlign val="superscript"/>
        <sz val="10"/>
        <color theme="1"/>
        <rFont val="Calibri"/>
        <family val="2"/>
      </rPr>
      <t>2</t>
    </r>
    <r>
      <rPr>
        <sz val="10"/>
        <color theme="1"/>
        <rFont val="Calibri"/>
        <family val="2"/>
      </rPr>
      <t xml:space="preserve"> or less than 40 km</t>
    </r>
    <r>
      <rPr>
        <vertAlign val="superscript"/>
        <sz val="10"/>
        <color theme="1"/>
        <rFont val="Calibri"/>
        <family val="2"/>
      </rPr>
      <t>2</t>
    </r>
    <r>
      <rPr>
        <sz val="10"/>
        <color theme="1"/>
        <rFont val="Calibri"/>
        <family val="2"/>
      </rPr>
      <t>, if only one present.</t>
    </r>
  </si>
  <si>
    <r>
      <rPr>
        <sz val="10"/>
        <color theme="1"/>
        <rFont val="Calibri"/>
        <family val="2"/>
      </rPr>
      <t xml:space="preserve"> 2. Presence of 3 or more protected areas (national park, wildlife sanctuary, biosphere reserve, conservation reserve, reserved and protected forests, eco-sensitive area) each larger than 20 km</t>
    </r>
    <r>
      <rPr>
        <vertAlign val="superscript"/>
        <sz val="10"/>
        <color theme="1"/>
        <rFont val="Calibri"/>
        <family val="2"/>
      </rPr>
      <t>2</t>
    </r>
    <r>
      <rPr>
        <sz val="10"/>
        <color theme="1"/>
        <rFont val="Calibri"/>
        <family val="2"/>
      </rPr>
      <t xml:space="preserve"> or larger than 50 km</t>
    </r>
    <r>
      <rPr>
        <vertAlign val="superscript"/>
        <sz val="10"/>
        <color theme="1"/>
        <rFont val="Calibri"/>
        <family val="2"/>
      </rPr>
      <t>2</t>
    </r>
    <r>
      <rPr>
        <sz val="10"/>
        <color theme="1"/>
        <rFont val="Calibri"/>
        <family val="2"/>
      </rPr>
      <t>, if only one present.</t>
    </r>
  </si>
  <si>
    <t xml:space="preserve"> 3. Negligible morphological changes along the river channel, the valley and the inundated area.</t>
  </si>
  <si>
    <t xml:space="preserve"> 3. Minor morphological changes along the river channel, the valley and the inundated area.
</t>
  </si>
  <si>
    <t xml:space="preserve"> 3. Morphological changes significant but not extensive – limited to some flow regime alteration, localized erosion and loss of topsoil. </t>
  </si>
  <si>
    <t xml:space="preserve"> 3. Extensive morphological changes – new river channel and/or some landscape fragmentation.</t>
  </si>
  <si>
    <t xml:space="preserve"> 3. Catastrophic morphological changes – extensive re-arrangement of river channel and hydraulic conditions, extensive landscape fragmentation.</t>
  </si>
  <si>
    <t xml:space="preserve"> 4. No or minimal loss of fish and/or wildlife habitat with high capability of natural restoration resulting in a very low likelihood of negatively affecting the status of the population.</t>
  </si>
  <si>
    <t xml:space="preserve"> 4. Moderate loss of fish and/or wildlife habitat with high capability of natural restoration resulting in a  low likelihood of negatively affecting the status of the population.</t>
  </si>
  <si>
    <t xml:space="preserve"> 4. Significant loss of fish and/or wildlife habitat but with moderate  capability of natural restoration resulting in a moderate likelihood of negatively affecting the status of the population.</t>
  </si>
  <si>
    <t xml:space="preserve"> 4. Significant loss of fish and/or wildlife habitat with low  capability of natural restoration resulting in a high likelihood of negatively affecting the status of the population.</t>
  </si>
  <si>
    <t xml:space="preserve"> 4. Little or no possibility of restoration.</t>
  </si>
  <si>
    <t>PI-3 Socio-economic Impacts</t>
  </si>
  <si>
    <t xml:space="preserve">MINIMAL – the best score </t>
  </si>
  <si>
    <t xml:space="preserve">EXTREME - the worst score </t>
  </si>
  <si>
    <t>Overall impact minor and of strictly local nature</t>
  </si>
  <si>
    <t>Overall impact moderate and of strictly local nature.</t>
  </si>
  <si>
    <t>Overall impact significant and affecting the  wider region</t>
  </si>
  <si>
    <t>Overall impact significant and affecting the  entire state</t>
  </si>
  <si>
    <t>Overall impact catastrophic for the state and with wider national implications.</t>
  </si>
  <si>
    <t xml:space="preserve"> 1. No or very few small residential developments and only small scale industrial, commercial or agricultural activities.</t>
  </si>
  <si>
    <t xml:space="preserve"> 1. No or very small residential developments and only medium scale industrial, commercial or agricultural activities.</t>
  </si>
  <si>
    <t xml:space="preserve"> 1. Medium to large concentration of residential developments and industrial, commercial or agricultural activities.</t>
  </si>
  <si>
    <t xml:space="preserve"> 1. Very large concentration of residential developments and, industrial, commercial or agricultural activities.</t>
  </si>
  <si>
    <t xml:space="preserve"> 1. Major municipal areas with extensive industrial, commercial activities and very large agricultural areas.</t>
  </si>
  <si>
    <t xml:space="preserve"> 2. Infrastructure and navigational services do not exist in the affected area.</t>
  </si>
  <si>
    <t xml:space="preserve"> 2. Only minor infrastructure and navigational services in the affected area.</t>
  </si>
  <si>
    <t xml:space="preserve"> 2. Some infrastructure in the affected area (local roads and railways, small and medium size power plants, water treatment and waste treatment plants, local power system installations).</t>
  </si>
  <si>
    <t xml:space="preserve"> 2. Important infrastructure in the affected area (state highways, major railways, large water treatment and waste treatment plants, local airports,regional power system installations).</t>
  </si>
  <si>
    <t xml:space="preserve"> 2. Major national and inter-state highways and major railways, multiple large water treatment and waste treatment plants, large power plants, international and national airports) , navigational services in the affected area.</t>
  </si>
  <si>
    <t xml:space="preserve"> 3. No ports or any other navigational services</t>
  </si>
  <si>
    <t xml:space="preserve"> 3. Port and navigational services unaffected.</t>
  </si>
  <si>
    <t xml:space="preserve"> 3. Short-lasting interruptions in ports and navigational services.</t>
  </si>
  <si>
    <t xml:space="preserve"> 3. Long-lasting interruptions in ports and navigational services.</t>
  </si>
  <si>
    <t xml:space="preserve"> 4. No chools, hospitals or other public facilities.</t>
  </si>
  <si>
    <t xml:space="preserve"> 4. Only few small schools, hospitals and other public facilities.</t>
  </si>
  <si>
    <t xml:space="preserve"> 4. Several schools, hospitals and other public facilities.</t>
  </si>
  <si>
    <t xml:space="preserve"> 4. Several large schools, hospitals and other public facilities.</t>
  </si>
  <si>
    <t xml:space="preserve"> 4. Multiple large schools, hospitals and other public facilities.</t>
  </si>
  <si>
    <t xml:space="preserve"> 5.  No dams downstream.</t>
  </si>
  <si>
    <t xml:space="preserve"> 5. Potential for failure of single small downstream dam.</t>
  </si>
  <si>
    <t xml:space="preserve"> 5. Potential for failure of medium downstream dam.</t>
  </si>
  <si>
    <t xml:space="preserve"> 5. Potential for cascading failure of small and medium size dams downstream.</t>
  </si>
  <si>
    <t xml:space="preserve"> 5. Potential for cascading failure involving large downstream dam.</t>
  </si>
  <si>
    <t xml:space="preserve"> 6. No power plants or nuclear facilities downstream.</t>
  </si>
  <si>
    <t xml:space="preserve"> 6. Nuclear power plant or other nuclear facility downstream.</t>
  </si>
  <si>
    <t>General comments</t>
  </si>
  <si>
    <t>1. Rule curve has been established.</t>
  </si>
  <si>
    <t>1.There are  indications that the rule curve should be revised.</t>
  </si>
  <si>
    <t>3. Reliable long-term, medium-term and real-time meteorological and inflow forecasts are available.</t>
  </si>
  <si>
    <t>4. Access to control room available at all conditions.</t>
  </si>
  <si>
    <t xml:space="preserve">3-Emergency Action Plan </t>
  </si>
  <si>
    <t>Landslides into reservoir</t>
  </si>
  <si>
    <t>1. The potential for the occurrence of landslides into reservoir is nil or very low.</t>
  </si>
  <si>
    <t>1. There is a moderate  potential for the occurrence of landslides into reservoir.</t>
  </si>
  <si>
    <t>1. There is a high  potential for the occurrence of landslides into reservoir.</t>
  </si>
  <si>
    <t xml:space="preserve">2. There is a historical evidence of major events with some that occurred in recent times. </t>
  </si>
  <si>
    <t>Glacial Lakes Outburst Floods (GLOF's)</t>
  </si>
  <si>
    <t>3. There is a moderate potential for major glacial lakes outburst floods.</t>
  </si>
  <si>
    <t>3. There is a high potential for major glacial lakes outburst floods.</t>
  </si>
  <si>
    <t xml:space="preserve">4. No historical evidence of major events. </t>
  </si>
  <si>
    <t xml:space="preserve">4. There is a historical evidence of major events  but none in recent times. </t>
  </si>
  <si>
    <t xml:space="preserve">4. There is a historical evidence of major events with some that occurred in recent times. </t>
  </si>
  <si>
    <t>5. No landslide dams and the potential for landslide dams to form is very low.</t>
  </si>
  <si>
    <t>5. There is a moderate potential for major landslide dams outburst floods.</t>
  </si>
  <si>
    <t>5. There is a high potential for major landslide dams outburst floods.</t>
  </si>
  <si>
    <t xml:space="preserve">6. No historical evidence of major events. </t>
  </si>
  <si>
    <t xml:space="preserve">6. There is a historical evidence of major events  but none in recent times. </t>
  </si>
  <si>
    <t xml:space="preserve">6. There is a historical evidence of major events with some that occurred in recent times. </t>
  </si>
  <si>
    <t>Sedimentation</t>
  </si>
  <si>
    <t xml:space="preserve"> 7. SIltation  reduced the design live storage by less than 10%.</t>
  </si>
  <si>
    <t>7. Siltation in the reservoir reduced the design live storage by less than 30%.</t>
  </si>
  <si>
    <t>7.  Siltation in the reservoir reduced the design live storage by more than 30%.</t>
  </si>
  <si>
    <t xml:space="preserve">Comments, documents and other supporting evidence </t>
  </si>
  <si>
    <t xml:space="preserve">INPUT THE FINAL SCORE HERE:   </t>
  </si>
  <si>
    <t xml:space="preserve"> 1. Some moderate issues with safety performance during past seismic events.</t>
  </si>
  <si>
    <t xml:space="preserve"> 1. No issues with safety performance during past seismic events .</t>
  </si>
  <si>
    <t xml:space="preserve"> 1. Poor safety performance during past seismic events.</t>
  </si>
  <si>
    <t>Dam site under consideration</t>
  </si>
  <si>
    <t xml:space="preserve">1. None  or only negligible.
</t>
  </si>
  <si>
    <t>2. No structural cracking</t>
  </si>
  <si>
    <t>2. Minor structural cracking.</t>
  </si>
  <si>
    <t>1. Minor cracking.</t>
  </si>
  <si>
    <t>2. Presence of some structural cracks.</t>
  </si>
  <si>
    <t xml:space="preserve">1. Deep cracking. </t>
  </si>
  <si>
    <t>2. Multiple structural cracks.</t>
  </si>
  <si>
    <t>1. Cracking extensive in length and/or width and worsening.</t>
  </si>
  <si>
    <t>4. Fully functional</t>
  </si>
  <si>
    <t>5. No signs of deterioration.</t>
  </si>
  <si>
    <t>5. Normal, age-related deterioration of concrete is in progress, but distress is not considered to adversely impact performance or risks in the next 10 years.</t>
  </si>
  <si>
    <t>5. Rust staining of the concrete indicates the contact of water with embedded reinforcing steel.</t>
  </si>
  <si>
    <t>5. Continuing and increasing deterioration of concrete mass with numerous locations where large portions of reinforcing bars are visible.</t>
  </si>
  <si>
    <t xml:space="preserve">6. Large number of extensive moist or wet surfaces on concrete. </t>
  </si>
  <si>
    <t xml:space="preserve">6. Numerous moderate moist or wet surfaces on concrete. </t>
  </si>
  <si>
    <t xml:space="preserve">6. Localized moist or wet surfaces on concrete. </t>
  </si>
  <si>
    <t>6. No signs of wet surfaces</t>
  </si>
  <si>
    <t>Displacement</t>
  </si>
  <si>
    <t>11. Minor misalignment.</t>
  </si>
  <si>
    <t>11. Moderate misalignment.</t>
  </si>
  <si>
    <t xml:space="preserve">11. Substantial misalignment </t>
  </si>
  <si>
    <t>11. No misalignment.</t>
  </si>
  <si>
    <t>12, Substantial differential movement.</t>
  </si>
  <si>
    <t>12. No differential movement.</t>
  </si>
  <si>
    <t>12. Some minor differential movement.</t>
  </si>
  <si>
    <t>12. Differential movement still only moderate.</t>
  </si>
  <si>
    <t>13. Significant acceleration of displacement processes.</t>
  </si>
  <si>
    <t>13. Displacement processes stabilized.</t>
  </si>
  <si>
    <t>13. Displacement processes slowly and steadily progressing.</t>
  </si>
  <si>
    <t>13. Some moderate acceleration of displacement processes.</t>
  </si>
  <si>
    <t>14. Abutment and foundation show no signs of distress (changing leakage patterns, minor movement, and deterioration).</t>
  </si>
  <si>
    <t>14. Abutment and foundation show initial and only minor signs of distress (changing leakage patterns, minor movement, and deterioration).</t>
  </si>
  <si>
    <t>1. Very good to excellent quality, low permeability granitic, sandstone, shale, siltstone, basalt, claystone, mudstone or hornfels bedrock.
Other rock types may be considered as very good if they are fresh, impervious and massive with few discontinuities.</t>
  </si>
  <si>
    <t>2. Verry good to excellent shear strength and bearing capacity.</t>
  </si>
  <si>
    <t>3. Very good to excellent foundation preparation in full accordance with modern practice.</t>
  </si>
  <si>
    <t>4. Fully penetrating well designed seepage cutoff anchored into impervious formation.</t>
  </si>
  <si>
    <t>5. Generally closed fractures or localized factures infilled with non-erodible materials.</t>
  </si>
  <si>
    <t xml:space="preserve">6. Adequate drainage system in place. </t>
  </si>
  <si>
    <t xml:space="preserve"> 3. Fundation preparation generally in accordance with modern practice.</t>
  </si>
  <si>
    <t xml:space="preserve"> 3. Adequate foundation preparation, including grouting of local moderate to high permeability.</t>
  </si>
  <si>
    <t>7. High exit gradients and uplift pressures not anticipated or managed with  adequate foundation pressure relief or drainage system.</t>
  </si>
  <si>
    <t>7. Only low exit gradients and uplift pressures present.</t>
  </si>
  <si>
    <t>7. Only medium exit gradients and uplift pressures present and fully managed with  adequate foundation pressure relief andr drainage system.</t>
  </si>
  <si>
    <t>1. Quality generally good , low permeability granitic, sandstone, shale, siltstone, claystone, mudstone or hornfels bedrock or permeability reduced by modern foundation grouting methods.
Other rock types may be considered as  good if they are fresh, impervious and widely jointed with few filled discontinuities that can be treated by grouting.</t>
  </si>
  <si>
    <t>2.  Shear resistance and bearing capacity mconsidered as adequate</t>
  </si>
  <si>
    <t>4. Seepage cutoff not using upstream blanket and fully penetrating into impervious cutoff.</t>
  </si>
  <si>
    <t>5. Limited number of open joints infilled with non-erodible substances or localized joints, generally discontinuous joints filled with erodible materials that have been adequately treated.</t>
  </si>
  <si>
    <t xml:space="preserve">2. Adequate shear strength and bearing capacity or foundation reinforced and stabilized. </t>
  </si>
  <si>
    <r>
      <t>1. Fair to good quality and moderate permeability granitic, sandstone, shale, siltstone, claystone, mudstone or hornfels bedrock. 
Rock mass with permeabilities as high as 10</t>
    </r>
    <r>
      <rPr>
        <vertAlign val="superscript"/>
        <sz val="10"/>
        <color rgb="FF000000"/>
        <rFont val="Calibri"/>
        <family val="2"/>
        <scheme val="minor"/>
      </rPr>
      <t>-3</t>
    </r>
    <r>
      <rPr>
        <sz val="10"/>
        <color rgb="FF000000"/>
        <rFont val="Calibri"/>
        <family val="2"/>
        <scheme val="minor"/>
      </rPr>
      <t xml:space="preserve"> cm/s but that can be adequately sealed.</t>
    </r>
  </si>
  <si>
    <t>4. Full seepage cutoff in place or depth of partial seepage cutoff or extent of upstream impervious blanket in accordance with modern practice. Partial cutoff to adequate depth to reduce exit gradients to acceptable levels (less than 0.5) may be acceptable.</t>
  </si>
  <si>
    <t>5. Some continuous open joints in foundation generally infilled with non-erodible substances. Local open joints filled with erodible materials of limited continuity that have been adequately treated.</t>
  </si>
  <si>
    <t xml:space="preserve">6. Drainage system in place but not fully adequate. </t>
  </si>
  <si>
    <r>
      <t>1. Poor to fair quality tuff, basalt, dolomite, marble, quartzite or rhyolite. Rock mass may have local areas with permeabilities higher than 10</t>
    </r>
    <r>
      <rPr>
        <vertAlign val="superscript"/>
        <sz val="10"/>
        <color rgb="FF000000"/>
        <rFont val="Calibri"/>
        <family val="2"/>
      </rPr>
      <t>-3</t>
    </r>
    <r>
      <rPr>
        <sz val="10"/>
        <color rgb="FF000000"/>
        <rFont val="Calibri"/>
        <family val="2"/>
      </rPr>
      <t xml:space="preserve"> cm/sec.</t>
    </r>
  </si>
  <si>
    <t>2. Suspect shear resistance or not known.</t>
  </si>
  <si>
    <t>3. Foundation preparation measures  suspect or inadequate.</t>
  </si>
  <si>
    <t xml:space="preserve">6. Drainage system inadequate. </t>
  </si>
  <si>
    <t>7.High exit gradients and uplift pressures with inadequate foundation pressure relief or drainage system possible.</t>
  </si>
  <si>
    <t>5. Many open joints or some joints filled with erodible materials.</t>
  </si>
  <si>
    <r>
      <t>1. Poor quality, highly weathered or fractured rock or a  karst limestone foundation or a foundation containing gypsum or other soluble materials. 
Rock mass may have local areas with permeabilities higher than  10</t>
    </r>
    <r>
      <rPr>
        <vertAlign val="superscript"/>
        <sz val="10"/>
        <color rgb="FF000000"/>
        <rFont val="Calibri"/>
        <family val="2"/>
      </rPr>
      <t>-2</t>
    </r>
    <r>
      <rPr>
        <sz val="10"/>
        <color rgb="FF000000"/>
        <rFont val="Calibri"/>
        <family val="2"/>
      </rPr>
      <t xml:space="preserve"> cm/s that cannot be adequately sealed. </t>
    </r>
  </si>
  <si>
    <t>2. Inadequate or potentially inferior shear strengths or bearing capacity.</t>
  </si>
  <si>
    <t>4. Partial seepage cutoff foundation grouting inadequate or umknown.</t>
  </si>
  <si>
    <t>5. Many open joints filled with erodible materials.</t>
  </si>
  <si>
    <t>6. Drainage system absent.</t>
  </si>
  <si>
    <t>7. Anticipated high exit gradients and uplift pressures with no foundation pressure relief or drainage system.</t>
  </si>
  <si>
    <r>
      <t>1. Dense,  generally low permeability (less than 10</t>
    </r>
    <r>
      <rPr>
        <vertAlign val="superscript"/>
        <sz val="10"/>
        <color rgb="FF000000"/>
        <rFont val="Calibri"/>
        <family val="2"/>
      </rPr>
      <t xml:space="preserve">-3 </t>
    </r>
    <r>
      <rPr>
        <sz val="10"/>
        <color rgb="FF000000"/>
        <rFont val="Calibri"/>
        <family val="2"/>
      </rPr>
      <t xml:space="preserve">cm/s) aeolian, colluvial, lacustrine, marine, glacial or alluvium. 
</t>
    </r>
  </si>
  <si>
    <t>2. Only very little residual soils present.</t>
  </si>
  <si>
    <r>
      <t>3. Permeability issues addressed by appropriate measures (full cutoff to bedrock or impervious soil achieved by core trenches to rock or cutoffs, alluvial grouting, jet grouting, cutoff walls or other to reduce permeability to 10</t>
    </r>
    <r>
      <rPr>
        <vertAlign val="superscript"/>
        <sz val="10"/>
        <color rgb="FF000000"/>
        <rFont val="Calibri"/>
        <family val="2"/>
      </rPr>
      <t xml:space="preserve">-4 </t>
    </r>
    <r>
      <rPr>
        <sz val="10"/>
        <color rgb="FF000000"/>
        <rFont val="Calibri"/>
        <family val="2"/>
      </rPr>
      <t>cm/s or less at the seal zone). Seal contact width a minimum of 0.5 H for cutoffs founded on overburden.</t>
    </r>
  </si>
  <si>
    <t>4. Adequate shear strength and bearing capacity.</t>
  </si>
  <si>
    <t>5.  Foundation preparation in accordance with modern practice.</t>
  </si>
  <si>
    <t>7. Adequate foundation filter where one is required.</t>
  </si>
  <si>
    <r>
      <t>1. Dense to locally loose  aeolian, colluvial, lacustrine, marine, glacial or alluvium of moderate to high permeability
Most of the foundation is situated on dense soils but locally loose of soft soils exist that cannot or were not adequately treated.
Foundation may have local areas with permeabilities higher than  10</t>
    </r>
    <r>
      <rPr>
        <vertAlign val="superscript"/>
        <sz val="10"/>
        <color rgb="FF000000"/>
        <rFont val="Calibri"/>
        <family val="2"/>
      </rPr>
      <t>-3</t>
    </r>
    <r>
      <rPr>
        <sz val="10"/>
        <color rgb="FF000000"/>
        <rFont val="Calibri"/>
        <family val="2"/>
      </rPr>
      <t xml:space="preserve"> cm/s.</t>
    </r>
  </si>
  <si>
    <t>3.  Partial cutoff.</t>
  </si>
  <si>
    <t>2. Significant amount of residual soils.</t>
  </si>
  <si>
    <t>4. Suspect shear strength and bearing capacity.</t>
  </si>
  <si>
    <t>5. Foundation preparation measures  suspect or inadequate.</t>
  </si>
  <si>
    <t>7. Inadequate foundation filter where one is required.</t>
  </si>
  <si>
    <t>8. Exit gradient levels at unfiltered exits within tolerable limits but above modern practice.</t>
  </si>
  <si>
    <t>9. High exit gradients and uplift pressures with inadequate foundation pressure relief or drainage system possible.</t>
  </si>
  <si>
    <t>1. Comduit having concrete cradles that extend up to the spring line of the pipe.If this option is selected confirm which of the following is true by inputing 1 into corresponding red-shaded cell.</t>
  </si>
  <si>
    <t>2. Wide open excavated trenches that permit the use of placement and compaction equipment.</t>
  </si>
  <si>
    <t>3. Interior and exterior joint protections.</t>
  </si>
  <si>
    <t>4. Subgrades that have been improved.</t>
  </si>
  <si>
    <t>5. Diaphragm filters on the downstream face.</t>
  </si>
  <si>
    <t>6. Double lined pipe systems.</t>
  </si>
  <si>
    <r>
      <t>7. </t>
    </r>
    <r>
      <rPr>
        <sz val="10"/>
        <color rgb="FF000000"/>
        <rFont val="Calibri"/>
        <family val="2"/>
      </rPr>
      <t>Corrosion resistant materials</t>
    </r>
    <r>
      <rPr>
        <sz val="10"/>
        <color theme="1"/>
        <rFont val="Calibri"/>
        <family val="2"/>
      </rPr>
      <t>.</t>
    </r>
  </si>
  <si>
    <t>Explain below how the interpolation was carried out</t>
  </si>
  <si>
    <t>Discharge capacity is between 90% and 100% of the routed IDF</t>
  </si>
  <si>
    <t>Discharge capacity is between 70% and 90% of the routed IDF</t>
  </si>
  <si>
    <t>Discharge capacity is between 50% and 70% of the routed IDF</t>
  </si>
  <si>
    <t>Discharge capacity is less than 50% of the routed IDF</t>
  </si>
  <si>
    <t xml:space="preserve"> 4. No conduits or conduits are not rquired to pass IDF.</t>
  </si>
  <si>
    <t>5. Loose blocks or blocks that have moved.</t>
  </si>
  <si>
    <t>5. No signs of mortar deterioration.</t>
  </si>
  <si>
    <t>6. No open joints in masonry.</t>
  </si>
  <si>
    <t>5. Few signs of some limited mortar deterioration.</t>
  </si>
  <si>
    <t>5. Numerous signs of progressing mortar deterioration.</t>
  </si>
  <si>
    <t>6. Very few open joints in masonry.</t>
  </si>
  <si>
    <t xml:space="preserve"> 6. Number of open joints in masonry steadily increasing.</t>
  </si>
  <si>
    <t xml:space="preserve"> 7. No signs of leaching of cement.</t>
  </si>
  <si>
    <t xml:space="preserve"> 7. Number of location where leaching of cement takes place steadily increasing.</t>
  </si>
  <si>
    <t>6. Substantial number of deep cavities in masonry joints.</t>
  </si>
  <si>
    <t>7.Substantial number of locations with the leaching of cement.</t>
  </si>
  <si>
    <t>8. Large number of extensive moist or wet surfaces on the downstream face.</t>
  </si>
  <si>
    <t>13. Instrumentation readings indicate accelerating adverse trends still below the design limits.</t>
  </si>
  <si>
    <t>11. Low pressure in the foundation and not increasing.</t>
  </si>
  <si>
    <r>
      <t>12. No instrumentation or instrumentation inadequate.
I</t>
    </r>
    <r>
      <rPr>
        <b/>
        <sz val="10"/>
        <color rgb="FFFF0000"/>
        <rFont val="Calibri"/>
        <family val="2"/>
      </rPr>
      <t>f it is true, enter 1 into the  adjacent red-shaded cell and ignore the questions in row 13.</t>
    </r>
  </si>
  <si>
    <t>3. Slope protection still adequate but deteriorating.</t>
  </si>
  <si>
    <r>
      <t>1. Conduit in direct contact or penetrating the embankment where the design is not of modern design or multiple conduits are present or not known.</t>
    </r>
    <r>
      <rPr>
        <b/>
        <sz val="10"/>
        <color rgb="FFFF0000"/>
        <rFont val="Calibri"/>
        <family val="2"/>
      </rPr>
      <t>.</t>
    </r>
  </si>
  <si>
    <r>
      <rPr>
        <b/>
        <sz val="16"/>
        <color rgb="FFFFFF00"/>
        <rFont val="Calibri"/>
        <family val="2"/>
      </rPr>
      <t>Comments, documents and other supporting evidence</t>
    </r>
    <r>
      <rPr>
        <b/>
        <sz val="16"/>
        <color theme="0"/>
        <rFont val="Calibri"/>
        <family val="2"/>
      </rPr>
      <t xml:space="preserve"> </t>
    </r>
  </si>
  <si>
    <t xml:space="preserve"> 1. The plan for timely elimination of all critical deficiencies has been developed but not implemented.</t>
  </si>
  <si>
    <t xml:space="preserve"> 1. The plan for elimination of only most critical deficiencies still under development.</t>
  </si>
  <si>
    <t xml:space="preserve"> 2. The corrective actions have been prioritized based on criticality and urgency of  deficiencies.</t>
  </si>
  <si>
    <t>Concrete and Masonry</t>
  </si>
  <si>
    <t>yes</t>
  </si>
  <si>
    <t xml:space="preserve"> 4. Conduits resent and capable of passing required portion of IDF.</t>
  </si>
  <si>
    <t xml:space="preserve"> 4. Conduits present and with limted capability of passing required portion of the IDF.</t>
  </si>
  <si>
    <t xml:space="preserve"> 4. Conduits present without any  capability of passing required portion of the IDF.</t>
  </si>
  <si>
    <t xml:space="preserve"> 4. Signs of accelerated erosion.</t>
  </si>
  <si>
    <t>Dam types</t>
  </si>
  <si>
    <t>Concrete gravity</t>
  </si>
  <si>
    <t>Concrete arch</t>
  </si>
  <si>
    <t>Composite</t>
  </si>
  <si>
    <t>Years of experience</t>
  </si>
  <si>
    <t>less than 2</t>
  </si>
  <si>
    <t>less than 5</t>
  </si>
  <si>
    <t>less than 10</t>
  </si>
  <si>
    <t>10 or more</t>
  </si>
  <si>
    <t>Tamil Nadu</t>
  </si>
  <si>
    <t>Screening provided by:</t>
  </si>
  <si>
    <t>Date (dd/mm/yyyy)</t>
  </si>
  <si>
    <t>12/05/2023</t>
  </si>
  <si>
    <t>01/02/2024</t>
  </si>
  <si>
    <t>on</t>
  </si>
  <si>
    <r>
      <t xml:space="preserve"> </t>
    </r>
    <r>
      <rPr>
        <b/>
        <u/>
        <sz val="10"/>
        <color rgb="FFFF0000"/>
        <rFont val="Calibri"/>
        <family val="2"/>
      </rPr>
      <t>Class A Structure indicative conditions</t>
    </r>
    <r>
      <rPr>
        <b/>
        <sz val="10"/>
        <color rgb="FFFF0000"/>
        <rFont val="Calibri"/>
        <family val="2"/>
      </rPr>
      <t xml:space="preserve">
1. Active sinkhole development
2. Boiling downstream of the dam increasing with time
3. Slope instabilities that intersects the crest 
4. Discharge of muddy water</t>
    </r>
  </si>
  <si>
    <t xml:space="preserve">3. No glacial lakes.
</t>
  </si>
  <si>
    <t>8. Effective sedimentation mitigation measures in place.</t>
  </si>
  <si>
    <t>8. Only some sedimentation mitigation measures are present but are of limited effectiveness.</t>
  </si>
  <si>
    <t>8. No sedimentation mitigation measures present or the existing measures ineffective.</t>
  </si>
  <si>
    <t>Uplift</t>
  </si>
  <si>
    <t>3. Inoperable.</t>
  </si>
  <si>
    <t>3. Operable but not functioning as designed, flows are reduced.</t>
  </si>
  <si>
    <t>3. Not fully unctional but adequate for the designed foundation and the dam body seepage.</t>
  </si>
  <si>
    <t>4. Uplift pressures are very high</t>
  </si>
  <si>
    <t>4. Significant increase in uplift pressures.</t>
  </si>
  <si>
    <t>4. Moderate increase in uplift pressures.</t>
  </si>
  <si>
    <t>4. Uplift pressures are low and stable.</t>
  </si>
  <si>
    <t>Rock foundations</t>
  </si>
  <si>
    <t xml:space="preserve">  Leaching</t>
  </si>
  <si>
    <t>7. Leakage rates slowly increasing.</t>
  </si>
  <si>
    <t>7. The increase in leakage rates accelerating with time.</t>
  </si>
  <si>
    <t>7. The leakage rates rapidly increasing.</t>
  </si>
  <si>
    <t>7. No or only minor eakage.</t>
  </si>
  <si>
    <t>8. No signs of leaching</t>
  </si>
  <si>
    <t>8. Some, limited presence of minor leaching.</t>
  </si>
  <si>
    <t>8. Numerous locations of moderate leaching.</t>
  </si>
  <si>
    <t>8. Large number of locations with significant leaching</t>
  </si>
  <si>
    <t>9. No concentrated leaching.</t>
  </si>
  <si>
    <t>9. Minor concentrated leakage through or along concrete monoliths.</t>
  </si>
  <si>
    <t>9. Significant concentrated leaching in previously identified locations.</t>
  </si>
  <si>
    <t>9. Large concentrated leaching in previously identified locations.</t>
  </si>
  <si>
    <t>10. No increase in the number of leaching locations.</t>
  </si>
  <si>
    <t>10. Minor  leaching in new locations</t>
  </si>
  <si>
    <t>10. Moderate leaching in new locations.</t>
  </si>
  <si>
    <t>10. Substantial leaching in new locations.</t>
  </si>
  <si>
    <t>Wet surfaces and leakage</t>
  </si>
  <si>
    <t xml:space="preserve">15. Redundant anchors exist </t>
  </si>
  <si>
    <t>17. Instrumentation begins to show adverse trends (uplift pressures, stress and strain, seismic activity, etc.).</t>
  </si>
  <si>
    <t>17. Instrumentation readings indicate accelerating adverse trends still below the design limits.</t>
  </si>
  <si>
    <t>5. Uplift pressures are low and stable.</t>
  </si>
  <si>
    <t>5. Moderate increase in uplift pressures.</t>
  </si>
  <si>
    <t>5. Significant increase in uplift pressures.</t>
  </si>
  <si>
    <t>5. Uplift pressures are very high</t>
  </si>
  <si>
    <t>6. No damage to energy dissipators.</t>
  </si>
  <si>
    <t>6. Minor damage to energy dissipators.</t>
  </si>
  <si>
    <t>6. Damaged energy dissipators but still functional.</t>
  </si>
  <si>
    <t>6. Destroyed energy dissipators.</t>
  </si>
  <si>
    <t xml:space="preserve">8. Instrumentation readings not demonstrating any adverse trends. </t>
  </si>
  <si>
    <t>8. Instrumentation begins to show adverse trends (alignment, uplift pressures,  etc.).</t>
  </si>
  <si>
    <t>8. Instrumentation readings indicate accelerating adverse trends still below the design limits.</t>
  </si>
  <si>
    <t>3. Fully functional</t>
  </si>
  <si>
    <t>3. Not fully functional but adequate for the designed foundation and the dam body seepage.</t>
  </si>
  <si>
    <t>3. Poor slope protection.</t>
  </si>
  <si>
    <t>7. Presence of discharge but without fine-grained materials in seepage.</t>
  </si>
  <si>
    <t xml:space="preserve">8. Soft slope areas or wetness on the slope increasing with time. Steadily increasing marsh-type vegetation. </t>
  </si>
  <si>
    <t>9. Local concentrated seepage at the toe of the dam through the foundation increasing with time.</t>
  </si>
  <si>
    <t xml:space="preserve">1. Slope instabilities that intersect the crest. </t>
  </si>
  <si>
    <t>2. Continuous transverse cracks.</t>
  </si>
  <si>
    <t>3.Extensive damage to slope protection.</t>
  </si>
  <si>
    <t xml:space="preserve">4.  Active sinkhole development. </t>
  </si>
  <si>
    <t>5. Boiling downstream of the dam increasing with time.</t>
  </si>
  <si>
    <t xml:space="preserve">6. Significant flow of clear water increasing with time and sudden increases in foundation pressures. </t>
  </si>
  <si>
    <t>7. Discharge of muddy water.</t>
  </si>
  <si>
    <t xml:space="preserve">8. Large areas of soft slope or wetness on the slope. Extensive marsh-type vegetation present. </t>
  </si>
  <si>
    <t>9. Concentrated seepage at the toe of the dam through the foundation increasing with time.</t>
  </si>
  <si>
    <t>17. No anchors</t>
  </si>
  <si>
    <t xml:space="preserve">17. Redundant anchors exist </t>
  </si>
  <si>
    <t>17. Anchors exist but not required for the base safety design</t>
  </si>
  <si>
    <t>17. Some anchors have failed due to deterioration.</t>
  </si>
  <si>
    <t>8. No signs of wet surfaces</t>
  </si>
  <si>
    <t>9. No signs of leaching</t>
  </si>
  <si>
    <t>10. No concentrated leaching.</t>
  </si>
  <si>
    <t>11. No increase in the number of leaching locations.</t>
  </si>
  <si>
    <t>12. Leakage rates stable - not increasing.</t>
  </si>
  <si>
    <t>13. No misalignment.</t>
  </si>
  <si>
    <t>14. No differential movement.</t>
  </si>
  <si>
    <t>15. Displacement processes stabilized.</t>
  </si>
  <si>
    <t>16. Abutment and foundation show no signs of distress (changing leakage patterns, minor movement, and deterioration).</t>
  </si>
  <si>
    <t xml:space="preserve">19. Instrumentation readings not demonstrating any adverse trends. </t>
  </si>
  <si>
    <t>7. Initial signs of leaching of cement.</t>
  </si>
  <si>
    <t xml:space="preserve">8. Localized moist or wet surfaces. </t>
  </si>
  <si>
    <t>9. Some, limited presence of minor leaching.</t>
  </si>
  <si>
    <t>10. Minor concentrated leakage through or along concrete monoliths.</t>
  </si>
  <si>
    <t>11. No or minor  leaching in new locations</t>
  </si>
  <si>
    <t>12. Leakage rates slowly increasing.</t>
  </si>
  <si>
    <t>13. Minor misalignment.</t>
  </si>
  <si>
    <t>14. Some minor differential movement.</t>
  </si>
  <si>
    <t>15. Displacement processes slowly and steadily progressing.</t>
  </si>
  <si>
    <t>16. Abutment and foundation show initial and only minor signs of distress (changing leakage patterns, minor movement, and deterioration).</t>
  </si>
  <si>
    <t>19. Instrumentation begins to show adverse trends (uplift pressures, stress and strain, seismic activity, etc.).</t>
  </si>
  <si>
    <t>9. Numerous locations of moderate leaching.</t>
  </si>
  <si>
    <t>10. Significant concentrated leaching in previously identified locations.</t>
  </si>
  <si>
    <t>11. Moderate leaching in new locations.</t>
  </si>
  <si>
    <t>12. The increase in leaching rates accelerating with time.</t>
  </si>
  <si>
    <t>13. Moderate misalignment.</t>
  </si>
  <si>
    <t>14. Differential movement still only moderate.</t>
  </si>
  <si>
    <t>15. Some moderate acceleration of displacement processes.</t>
  </si>
  <si>
    <t>19. Instrumentation readings indicate accelerating adverse trends still below the design limits.</t>
  </si>
  <si>
    <t xml:space="preserve">16. Numerous indications of weakening rock foundation and abutments that require remedial stabilization. </t>
  </si>
  <si>
    <t>15. Significant acceleration of displacement processes.</t>
  </si>
  <si>
    <t xml:space="preserve">14, Substantial differential movement, clear and numerous signs of movement within and between monoliths. </t>
  </si>
  <si>
    <t>13. Substantial misalignment, development of offsets observed in joints or constructed features.</t>
  </si>
  <si>
    <t>12. The rates rapidly increasing.</t>
  </si>
  <si>
    <t xml:space="preserve"> 2. Substantial leaching in new locations.</t>
  </si>
  <si>
    <t xml:space="preserve"> 10. Large concentrated leaching in previously identified locations.</t>
  </si>
  <si>
    <t>9. Large number of locations with significant leaching</t>
  </si>
  <si>
    <t>1. No signs of movement or beaching.</t>
  </si>
  <si>
    <t>2. No signs of excessive settlement.</t>
  </si>
  <si>
    <t>3. Good slope protection.</t>
  </si>
  <si>
    <t>4. No signs of sinkholes.</t>
  </si>
  <si>
    <t xml:space="preserve">8. Firm slope,  no wetness on the slope and no marsh-type vegetation. </t>
  </si>
  <si>
    <t>Civil Engineering</t>
  </si>
  <si>
    <t>Review outcome</t>
  </si>
  <si>
    <t>APPROVED</t>
  </si>
  <si>
    <t>CORRECTIONS REQUIRED</t>
  </si>
  <si>
    <t>REVIEW CONCLUSION</t>
  </si>
  <si>
    <t>6. Adequate drainage system in place.</t>
  </si>
  <si>
    <t>8. Exit gradients at all unfiltered exits below modern accepted levels (0.1 or less).</t>
  </si>
  <si>
    <t>9. High exit gradients and uplift pressures not anticipated or managed with  adequate foundation pressure relief or drainage system.</t>
  </si>
  <si>
    <r>
      <t>1. Generally loose, moderate to highly permeable overburden or dispersive soils or volcanic ash.
Foundation may have local areas with permeabilities higher than  10</t>
    </r>
    <r>
      <rPr>
        <vertAlign val="superscript"/>
        <sz val="10"/>
        <color rgb="FF000000"/>
        <rFont val="Calibri"/>
        <family val="2"/>
      </rPr>
      <t>-2</t>
    </r>
    <r>
      <rPr>
        <sz val="10"/>
        <color rgb="FF000000"/>
        <rFont val="Calibri"/>
        <family val="2"/>
      </rPr>
      <t xml:space="preserve"> cm/s that are not adequately sealed. 
</t>
    </r>
  </si>
  <si>
    <t>2. Large amount of  residual soils.</t>
  </si>
  <si>
    <t>3. Permeability issues not adequately addressed.</t>
  </si>
  <si>
    <t>4. Inadequate or inferior shear strength and bearing capacity.</t>
  </si>
  <si>
    <t>5. No foundation preparation or not known.</t>
  </si>
  <si>
    <t>6. No or drainage system in place or not known</t>
  </si>
  <si>
    <t>7. No foundation filter when one is required.</t>
  </si>
  <si>
    <t>8. Exit gradient levels at unfiltered exits above acceptable level.</t>
  </si>
  <si>
    <t>Good resistance to seismic loadings.</t>
  </si>
  <si>
    <t>Some issues with resistance to seismic loadings.</t>
  </si>
  <si>
    <t>Poor resistance to seismic loadings.</t>
  </si>
  <si>
    <r>
      <t>Input percentage of available</t>
    </r>
    <r>
      <rPr>
        <b/>
        <sz val="10"/>
        <color rgb="FFFF0000"/>
        <rFont val="Calibri"/>
        <family val="2"/>
      </rPr>
      <t xml:space="preserve"> </t>
    </r>
    <r>
      <rPr>
        <b/>
        <sz val="10"/>
        <color theme="1"/>
        <rFont val="Calibri"/>
        <family val="2"/>
      </rPr>
      <t>discharge capacity as the percentage of the IDF</t>
    </r>
  </si>
  <si>
    <t>4. Multiple medium  and large sinkholes.</t>
  </si>
  <si>
    <t>10. Few signs of the initiation of foundation movement (number of cracks increasing).</t>
  </si>
  <si>
    <t xml:space="preserve">10. Foundation movement (heave near the toe, more transverse or longitudinal cracks). </t>
  </si>
  <si>
    <t>11. Low pressure in the foundation but steadily increasing.</t>
  </si>
  <si>
    <t>A.K</t>
  </si>
  <si>
    <t>J.D</t>
  </si>
  <si>
    <t xml:space="preserve">3. No foundation preparation or not known. </t>
  </si>
  <si>
    <t>Engineering Background</t>
  </si>
  <si>
    <t>Electrical Engineering</t>
  </si>
  <si>
    <t>Mechanical Engineering</t>
  </si>
  <si>
    <t>The worst possible score</t>
  </si>
  <si>
    <t>Landslides Lakes Outburst Floods (LLOF's)</t>
  </si>
  <si>
    <t>The region is of low relief with no history of any significant landslides, with limited erosion upstream and within the reservoir area and no potential for formations of glacial or lanslide lakes.</t>
  </si>
  <si>
    <t>There is a potential for landslides or significant erosion / sedimentation. Impacts are determined to result in catastrophic effects on dam operation.There is a potential for formarion of glacial or landslide lakes.</t>
  </si>
  <si>
    <t>There is a high potential for formation of glacial or landslide lakes as well as landslides and extensive erosion / sedimentation. Impacts are determined to result in catastrophic effects on dam operation.</t>
  </si>
  <si>
    <t xml:space="preserve">BEDROCK (all  structures)  </t>
  </si>
  <si>
    <t>It is the installed discharge capacity reduced due to (i) the downstream channel capacity or (ii) outside interventions in dam operation during floods or (iii) other restricting circumstances</t>
  </si>
  <si>
    <t>16. Instrumentation not meeting requirements of Dam Safety Act with associated Regulations and appropriate CWC  Guidelines.  Some instruments  missing or not working). Design limits not established for all instruments.</t>
  </si>
  <si>
    <t>16. Instrumentation not meeting requirements of Dam Safety Act with associated Regulations and appropriate CWC  Guidelines.  Many instruments  missing of not working). Numerous design limits missing.</t>
  </si>
  <si>
    <t>7. Adequate instrumentation (as required by Dam Safety Act with associated Regulations and appropriate CWC  Guidelines) exists with established design limits.</t>
  </si>
  <si>
    <t>7. Instrumentation not meeting requirements of Dam Safety Act with associated Regulations and appropriate CWC  Guidelines.  Some instruments  missing or not working). Design limits not established for all instruments.</t>
  </si>
  <si>
    <t>15. No anchors</t>
  </si>
  <si>
    <t>16. Adequate instrumentation (as required by Dam Safety Act with associated Regulations and appropriate CWC  Guidelines) exists with established design limits.</t>
  </si>
  <si>
    <t xml:space="preserve">17. Instrumentation readings not demonstrating any adverse trends. </t>
  </si>
  <si>
    <t>7. requirements of Dam Safety Act with associated Regulations and appropriate CWC  Guidelines.  Many instruments  missing of not working). Numerous design limits missing.</t>
  </si>
  <si>
    <t>18. Adequate instrumentation (as required by Dam Safety Act with associated Regulations and appropriate CWC  Guidelines) exists with established design limits.</t>
  </si>
  <si>
    <t>18. Instrumentation not meeting requirements of Dam Safety Act with associated Regulations and appropriate CWC  Guidelines.  Some instruments  missing or not working). Design limits not established for all instruments.</t>
  </si>
  <si>
    <t>18. Instrumentation not meeting requirements of Dam Safety Act with associated Regulations and appropriate CWC  Guidelines.  Many instruments  missing of not working). Numerous design limits missing.</t>
  </si>
  <si>
    <t>12. Adequate instrumentation (as required by Dam Safety Act with associated Regulations and appropriate CWC  Guidelines) exists with established design limits.</t>
  </si>
  <si>
    <t xml:space="preserve">14. Available freeboard not fully adequate - slightly short of requirements  of  Dam Safety Act with associated Regulations and appropriate CWC  Guidelines. </t>
  </si>
  <si>
    <t>14. Adequate freeboard  (as required by Dam Safety Act with associated Regulations and appropriate CWC  Guidelines) available.</t>
  </si>
  <si>
    <t xml:space="preserve">14. Available freeboard inadequate - significantly short of requirements  of  Dam Safety Act with associated Regulations and appropriate CWC  Guidelines. </t>
  </si>
  <si>
    <t xml:space="preserve">14. Available freeboard is grossly inadequate - substantial deficit eith respect to the requirement of  Dam Safety Act with associated Regulations and appropriate CWC  Guidelines. </t>
  </si>
  <si>
    <t xml:space="preserve">If the available freeboard is not meeting requirements of of  Dam Safety Act with associated Regulations and appropriate CWC  Guidelines, provide the amount of deficit. </t>
  </si>
  <si>
    <t>Rock foundation</t>
  </si>
  <si>
    <t>16. In the abutment and foundation there are some signs of distress including changing leakage patterns, minor movement, and deterioration.</t>
  </si>
  <si>
    <t>14. In the abutment and foundation there are some signs of distress including changing leakage patterns, minor movement, and deterioration.</t>
  </si>
  <si>
    <t>15. Anchors exist but not required for the base safety design</t>
  </si>
  <si>
    <t>15. Some anchors have failed due to deterioration.</t>
  </si>
  <si>
    <t>4. Access to control room available at all conditions</t>
  </si>
  <si>
    <t>2. Deviations from the plan have never been applied in the past.</t>
  </si>
  <si>
    <t>Dam is part of a multiple dams river system</t>
  </si>
  <si>
    <t>2. Operation always follows established rule curve.</t>
  </si>
  <si>
    <t>2. Deviations from the integrated flood management plan were rarely applied in the past.</t>
  </si>
  <si>
    <t>2. IDeviations from the integrated flood management plan had to be frequently applied in the past.</t>
  </si>
  <si>
    <t>TC-4 Landslides, GLOF's, LLOF's, Debris Flow and Sedimentation</t>
  </si>
  <si>
    <t>After completing the scoring for BEDROCK move to the similar table below for OVRBURDEN</t>
  </si>
  <si>
    <r>
      <t xml:space="preserve"> 2. Dam is of the type which is resilient to seismic events (e.g. concrete gravity dams, embankment dams which have available freeboard as required by Dam Safety Act with associated Regulations and appropriate CWC  Guidelines.</t>
    </r>
    <r>
      <rPr>
        <b/>
        <i/>
        <sz val="10"/>
        <color theme="1"/>
        <rFont val="Calibri"/>
        <family val="2"/>
      </rPr>
      <t xml:space="preserve"> </t>
    </r>
  </si>
  <si>
    <t xml:space="preserve">2. Dam is of the type which has only some resilience to seismic events, embankment dams which have available freeboard equal to or slightly less than the  amount required by Dam Safety Act with associated Regulations and appropriate CWC  Guidelines. </t>
  </si>
  <si>
    <r>
      <t xml:space="preserve"> 2. Dam is of the type which is not resilient to seismic events, embankment dams which have available freeboard significantly smaller than the  amount required by Dam Safety Act with associated Regulations and appropriate CWC  Guidelines. </t>
    </r>
    <r>
      <rPr>
        <b/>
        <i/>
        <sz val="10"/>
        <color theme="1"/>
        <rFont val="Calibri"/>
        <family val="2"/>
      </rPr>
      <t xml:space="preserve"> </t>
    </r>
  </si>
  <si>
    <r>
      <t xml:space="preserve"> 1. Inspection, surveillance and monitoring program has been developed followingDam Safety Act and associated Regulations and appropriate CWC Guidelines</t>
    </r>
    <r>
      <rPr>
        <i/>
        <sz val="10"/>
        <color rgb="FF000000"/>
        <rFont val="Calibri"/>
        <family val="2"/>
      </rPr>
      <t xml:space="preserve"> a</t>
    </r>
    <r>
      <rPr>
        <sz val="10"/>
        <color rgb="FF000000"/>
        <rFont val="Calibri"/>
        <family val="2"/>
      </rPr>
      <t>s well as O&amp;M Manual</t>
    </r>
    <r>
      <rPr>
        <i/>
        <sz val="10"/>
        <color rgb="FF000000"/>
        <rFont val="Calibri"/>
        <family val="2"/>
      </rPr>
      <t xml:space="preserve"> </t>
    </r>
    <r>
      <rPr>
        <sz val="10"/>
        <color rgb="FF000000"/>
        <rFont val="Calibri"/>
        <family val="2"/>
      </rPr>
      <t>but the implementation is still ongoing.</t>
    </r>
  </si>
  <si>
    <t xml:space="preserve"> 1. Inspection, surveillance and monitoring program has been developed and implemented following Dam Safety Act and associated Regulations and appropriate CWC Guidelines. </t>
  </si>
  <si>
    <t xml:space="preserve"> 2. Frequency and extent of application following Dam Safety Act and associated Regulations and appropriate CWC Guidelines. </t>
  </si>
  <si>
    <t xml:space="preserve"> 2. There are some deviations from frequency and extent of application as required by  Dam Safety Act and associated Regulations and appropriate CWC Guidelines. </t>
  </si>
  <si>
    <t xml:space="preserve"> 2. Frequency and extent of application not following the Dam Safety Act and associated Regulations and appropriate CWC Guidelines. </t>
  </si>
  <si>
    <t>3. Report recommendations are not tracked.</t>
  </si>
  <si>
    <t>1. Reports not submitted.</t>
  </si>
  <si>
    <t xml:space="preserve">1. Reports submitted periodically in accordance with Dam Safety Act and associated Regulations and appropriate CWC Guidelines. </t>
  </si>
  <si>
    <t xml:space="preserve">1. Reports submitted irregularly. </t>
  </si>
  <si>
    <r>
      <t>1. The back-up power</t>
    </r>
    <r>
      <rPr>
        <b/>
        <sz val="10"/>
        <color rgb="FF000000"/>
        <rFont val="Calibri"/>
        <family val="2"/>
      </rPr>
      <t xml:space="preserve"> </t>
    </r>
    <r>
      <rPr>
        <sz val="10"/>
        <color rgb="FF000000"/>
        <rFont val="Calibri"/>
        <family val="2"/>
      </rPr>
      <t xml:space="preserve">at </t>
    </r>
    <r>
      <rPr>
        <b/>
        <sz val="10"/>
        <color rgb="FF000000"/>
        <rFont val="Calibri"/>
        <family val="2"/>
      </rPr>
      <t>the site</t>
    </r>
    <r>
      <rPr>
        <sz val="10"/>
        <color rgb="FF000000"/>
        <rFont val="Calibri"/>
        <family val="2"/>
      </rPr>
      <t xml:space="preserve"> is inspected, tested and maintained but not following regulatory/dam owner’s requirements.</t>
    </r>
  </si>
  <si>
    <r>
      <t xml:space="preserve">2. </t>
    </r>
    <r>
      <rPr>
        <b/>
        <sz val="10"/>
        <color rgb="FF000000"/>
        <rFont val="Calibri"/>
        <family val="2"/>
      </rPr>
      <t xml:space="preserve">The neighbouring site </t>
    </r>
    <r>
      <rPr>
        <sz val="10"/>
        <color rgb="FF000000"/>
        <rFont val="Calibri"/>
        <family val="2"/>
      </rPr>
      <t>with z reliable  back-up power  may be difficult to acess (access road with the history of road flooding or blockage by andslides, fallen trees, forest fires, etc.).</t>
    </r>
  </si>
  <si>
    <r>
      <t xml:space="preserve">1. No back-up power at </t>
    </r>
    <r>
      <rPr>
        <b/>
        <sz val="10"/>
        <color rgb="FF000000"/>
        <rFont val="Calibri"/>
        <family val="2"/>
      </rPr>
      <t>the site</t>
    </r>
    <r>
      <rPr>
        <sz val="10"/>
        <color rgb="FF000000"/>
        <rFont val="Calibri"/>
        <family val="2"/>
      </rPr>
      <t xml:space="preserve"> or inspection, testing and maintenance irregular or absent</t>
    </r>
  </si>
  <si>
    <r>
      <t>2. No back-up power at t</t>
    </r>
    <r>
      <rPr>
        <b/>
        <sz val="10"/>
        <color rgb="FF000000"/>
        <rFont val="Calibri"/>
        <family val="2"/>
      </rPr>
      <t>he neighbouring site.</t>
    </r>
  </si>
  <si>
    <t>1. Access road is in good condition and there is no history of road flooding or blockage by fallen trees or forest fires.</t>
  </si>
  <si>
    <t>2. Alternative ways to reach the site are available (boat, helicopter, second access road)</t>
  </si>
  <si>
    <t>1.  Access road was impassable in the past during large flood events, or due to the landslides, fallen trees blocking the road caused by storms or other high wind events, or due to the forest fires.</t>
  </si>
  <si>
    <t>2. Alternative ways to reach the site are unavailable.</t>
  </si>
  <si>
    <r>
      <t xml:space="preserve"> 1. All actions taken as per Dam Safety Report and all critical deficiencies eliminated.
</t>
    </r>
    <r>
      <rPr>
        <b/>
        <sz val="10"/>
        <color rgb="FFFF0000"/>
        <rFont val="Calibri"/>
        <family val="2"/>
      </rPr>
      <t>If it is true input 1 into red-shaded cell and the assessment is complete.</t>
    </r>
  </si>
  <si>
    <r>
      <t xml:space="preserve">1. The river system does not have the  integrated flood management plan and decisions on releases from all reservoirs are coordinated only ad-hoc by dams' operators during flood events or emergencies.
</t>
    </r>
    <r>
      <rPr>
        <b/>
        <sz val="10"/>
        <color rgb="FFFF0000"/>
        <rFont val="Calibri"/>
        <family val="2"/>
      </rPr>
      <t>If this is true enter 1 into adjacent red-shaded cell, skip row 6 and move to row 7.</t>
    </r>
  </si>
  <si>
    <r>
      <t xml:space="preserve">1. The river system does not have the  integrated flood management plan and there is no coordination of releases from all reservoirs.
</t>
    </r>
    <r>
      <rPr>
        <b/>
        <sz val="10"/>
        <color rgb="FFFF0000"/>
        <rFont val="Calibri"/>
        <family val="2"/>
      </rPr>
      <t>If this is true enter 1 into adjacent red-shaded cell, skip row 6 and move to row 7.</t>
    </r>
  </si>
  <si>
    <t xml:space="preserve"> 1. Implemented O&amp;M Manual was prepared according to Dam Safety Act and with associated Regulations and appropriate CWC Guidelines.
</t>
  </si>
  <si>
    <t>Implemented Emergency Action Plan that meets requirements of Dam Safety Act with associated Regulations and appropriate CWC Guidelines? (Yes/No)</t>
  </si>
  <si>
    <r>
      <t>Start with  the existing conditions listed in column 9 in rows 2 to 5</t>
    </r>
    <r>
      <rPr>
        <b/>
        <u/>
        <sz val="11"/>
        <color theme="1"/>
        <rFont val="Calibri"/>
        <family val="2"/>
      </rPr>
      <t xml:space="preserve"> 
</t>
    </r>
    <r>
      <rPr>
        <b/>
        <sz val="11"/>
        <color theme="1"/>
        <rFont val="Calibri"/>
        <family val="2"/>
      </rPr>
      <t>If any of these conditions is present mark appropriate red-shaded cell in column 10 and the BEDROCK (all structures) assessment is completed.</t>
    </r>
  </si>
  <si>
    <r>
      <t xml:space="preserve">1. Dam is in Zone </t>
    </r>
    <r>
      <rPr>
        <b/>
        <sz val="10"/>
        <color theme="1"/>
        <rFont val="Calibri"/>
        <family val="2"/>
      </rPr>
      <t>II</t>
    </r>
  </si>
  <si>
    <r>
      <t xml:space="preserve">1. Dam is in Zone </t>
    </r>
    <r>
      <rPr>
        <b/>
        <sz val="10"/>
        <color theme="1"/>
        <rFont val="Calibri"/>
        <family val="2"/>
      </rPr>
      <t>III</t>
    </r>
  </si>
  <si>
    <r>
      <t xml:space="preserve">1. Dam is in Zone </t>
    </r>
    <r>
      <rPr>
        <b/>
        <sz val="10"/>
        <color theme="1"/>
        <rFont val="Calibri"/>
        <family val="2"/>
      </rPr>
      <t>IV</t>
    </r>
  </si>
  <si>
    <r>
      <t xml:space="preserve">1. Dam is in Zone </t>
    </r>
    <r>
      <rPr>
        <b/>
        <sz val="10"/>
        <color theme="1"/>
        <rFont val="Calibri"/>
        <family val="2"/>
      </rPr>
      <t>V</t>
    </r>
  </si>
  <si>
    <t>2. Dam designed  in accordance with  the current seismic design standards.</t>
  </si>
  <si>
    <t>3. Dam has robust defensive measures appropriate to mitigate all aspects of  seismic hazard.</t>
  </si>
  <si>
    <t>3. Dam has some defensive measures appropriate to mitigate all aspects of  seismic hazard.</t>
  </si>
  <si>
    <t>2. Dam's design not meeting current design standards but  met  the standards at the time of design/construction</t>
  </si>
  <si>
    <t>3. Dam has only few and limited defensive measures appropriate to mitigate some aspects of  seismic hazard.</t>
  </si>
  <si>
    <t>2. Dam  not meeting current design standards and did not meet  the standards at the time of design/construction</t>
  </si>
  <si>
    <t>3. Dam has no defensive measures mitigating effects of seismic hazard.</t>
  </si>
  <si>
    <t>2. Dam designed applying seismic design standards published at the time of design, but meeting requirements of current standards.</t>
  </si>
  <si>
    <t>5. Very limited seepage through the dam or the foundations.</t>
  </si>
  <si>
    <t xml:space="preserve"> 5. Low to moderate seepage through the dam or the foundations  and considered as adequately controlled.</t>
  </si>
  <si>
    <t>5. Substantial leakage and seepage through the dam or the foundations indicating that it is inadequately controlled.</t>
  </si>
  <si>
    <t>6. Any seepage present is stable and not increasing with time.</t>
  </si>
  <si>
    <t xml:space="preserve"> 8. Small areas of softening slope,  some localized areas of wetness on the slope and some limited marsh-type vegetation. </t>
  </si>
  <si>
    <t xml:space="preserve">6. Persistent and accelerated  increase of seepage with time. </t>
  </si>
  <si>
    <t>7. Very limited seepage at the contact/interface between fill and concrete/mortar structure.</t>
  </si>
  <si>
    <t xml:space="preserve"> 7. Seepage at the contact/interface between fill and concrete/mortar structure low to moderate but gradually increasing with time</t>
  </si>
  <si>
    <t xml:space="preserve">6.  Seepage slowly but gradually increasing with time. </t>
  </si>
  <si>
    <t xml:space="preserve">EC-3 Flow Discharge Equipment </t>
  </si>
  <si>
    <t>EC 6 Concrete Gravity Dam</t>
  </si>
  <si>
    <t>EC-7 Spillway Structure</t>
  </si>
  <si>
    <t>`</t>
  </si>
  <si>
    <t>16. Some evidence of Phreatic surface rising  on the downstream face of the dam with time indepently of reservoir level.</t>
  </si>
  <si>
    <r>
      <t xml:space="preserve">1. The back-up power at </t>
    </r>
    <r>
      <rPr>
        <b/>
        <sz val="10"/>
        <color rgb="FF000000"/>
        <rFont val="Calibri"/>
        <family val="2"/>
      </rPr>
      <t>the site</t>
    </r>
    <r>
      <rPr>
        <sz val="10"/>
        <color rgb="FF000000"/>
        <rFont val="Calibri"/>
        <family val="2"/>
      </rPr>
      <t xml:space="preserve"> is inspected, tested and maintained as per regulatory/dam owner’s requirements. If true enter 1 and assessment is comlete
</t>
    </r>
    <r>
      <rPr>
        <b/>
        <sz val="10"/>
        <color rgb="FFFF0000"/>
        <rFont val="Calibri"/>
        <family val="2"/>
      </rPr>
      <t xml:space="preserve"> </t>
    </r>
  </si>
  <si>
    <r>
      <t xml:space="preserve">2.The </t>
    </r>
    <r>
      <rPr>
        <b/>
        <sz val="10"/>
        <color rgb="FF000000"/>
        <rFont val="Calibri"/>
        <family val="2"/>
      </rPr>
      <t>neighbouring site</t>
    </r>
    <r>
      <rPr>
        <sz val="10"/>
        <color rgb="FF000000"/>
        <rFont val="Calibri"/>
        <family val="2"/>
      </rPr>
      <t xml:space="preserve"> with a reliable back-up power can be easily accessed. </t>
    </r>
  </si>
  <si>
    <t>Neighbouring site (DO NOT COMPLETE IF BACKUP POWER IS AVAILABLE At SITE)</t>
  </si>
  <si>
    <t>If N go to Row 1</t>
  </si>
  <si>
    <t>A</t>
  </si>
  <si>
    <t>B</t>
  </si>
  <si>
    <t>C</t>
  </si>
  <si>
    <t>D</t>
  </si>
  <si>
    <t>A1, Is the spillway ungated {Y/N}</t>
  </si>
  <si>
    <t>B1. Is the ungated spillway only the dam on the river system {Y/N}</t>
  </si>
  <si>
    <t>C1, Are meteorological and inflow forecasts are available.</t>
  </si>
  <si>
    <t>C2. . Only reliable  inflow forecasts are available.</t>
  </si>
  <si>
    <t>C3 Poor quality of forecasts.</t>
  </si>
  <si>
    <t>If Y assessment is complete.  If N answer questions C and D below and assessment is xomplete</t>
  </si>
  <si>
    <t>D1. Are good communications available with downstream Dam operators</t>
  </si>
  <si>
    <t>Ungated Spillways</t>
  </si>
  <si>
    <t>Gated Spillways</t>
  </si>
  <si>
    <r>
      <t xml:space="preserve">1. The decisions on releases from all reservoirs are coordinated and during flood events or dam safety emergencies follow the existing integrated flood management plan.
</t>
    </r>
    <r>
      <rPr>
        <b/>
        <sz val="10"/>
        <color rgb="FFFF0000"/>
        <rFont val="Calibri"/>
        <family val="2"/>
      </rPr>
      <t>If this is true one of the options in row 6  must be selected.</t>
    </r>
  </si>
  <si>
    <r>
      <t xml:space="preserve">1. No rule curve or other detailed operation directives.  </t>
    </r>
    <r>
      <rPr>
        <sz val="10"/>
        <color rgb="FFFF0000"/>
        <rFont val="Calibri"/>
        <family val="2"/>
      </rPr>
      <t>(Skip row 2)</t>
    </r>
  </si>
  <si>
    <r>
      <t>16. No instrumentation or instrumentation inadequate.</t>
    </r>
    <r>
      <rPr>
        <sz val="10"/>
        <color rgb="FFFF0000"/>
        <rFont val="Calibri"/>
        <family val="2"/>
      </rPr>
      <t xml:space="preserve">                 (If it is true, enter 1 into the  adjacent red-shaded cell and ignore the questions in row 8.)</t>
    </r>
    <r>
      <rPr>
        <sz val="10"/>
        <color theme="1"/>
        <rFont val="Calibri"/>
        <family val="2"/>
      </rPr>
      <t xml:space="preserve">
</t>
    </r>
  </si>
  <si>
    <r>
      <t xml:space="preserve">17. Instrumentation indicates continuing acceleration of adverse trends with some exceeding the design limits </t>
    </r>
    <r>
      <rPr>
        <sz val="10"/>
        <color rgb="FFFF0000"/>
        <rFont val="Calibri"/>
        <family val="2"/>
      </rPr>
      <t>or unknown.</t>
    </r>
  </si>
  <si>
    <r>
      <t xml:space="preserve">16. No instrumentation or instrumentation inadequate.
</t>
    </r>
    <r>
      <rPr>
        <sz val="10"/>
        <color rgb="FFFF0000"/>
        <rFont val="Calibri"/>
        <family val="2"/>
      </rPr>
      <t>If it is true, enter 1 into the  adjacent red-shaded cell and ignore the questions in row 17.</t>
    </r>
  </si>
  <si>
    <r>
      <t>17. Instrumentation indicates continuing acceleration of adverse trends with some exceeding the design limits</t>
    </r>
    <r>
      <rPr>
        <sz val="10"/>
        <color rgb="FFFF0000"/>
        <rFont val="Calibri"/>
        <family val="2"/>
      </rPr>
      <t xml:space="preserve"> or unknown</t>
    </r>
    <r>
      <rPr>
        <sz val="10"/>
        <color theme="1"/>
        <rFont val="Calibri"/>
        <family val="2"/>
      </rPr>
      <t>.</t>
    </r>
  </si>
  <si>
    <r>
      <t xml:space="preserve">16. No instrumentation or instrumentation inadequate. 
</t>
    </r>
    <r>
      <rPr>
        <sz val="10"/>
        <color rgb="FFFF0000"/>
        <rFont val="Calibri"/>
        <family val="2"/>
      </rPr>
      <t>If it is true, enter 1 into the  adjacent red-shaded cell and ignore the questions in row 19.</t>
    </r>
  </si>
  <si>
    <r>
      <t xml:space="preserve">13. Instrumentation indicate continuing acceleration of adverse trends with some exceeding the design limits </t>
    </r>
    <r>
      <rPr>
        <sz val="10"/>
        <color rgb="FFFF0000"/>
        <rFont val="Calibri"/>
        <family val="2"/>
      </rPr>
      <t>or unknown.</t>
    </r>
  </si>
  <si>
    <t xml:space="preserve">15. .No control of vegetation growth and animal burrowing. 
</t>
  </si>
  <si>
    <t>16.  Phreatic surface rising significantly on the downstream face of the dam with time indepently of reservoir level.</t>
  </si>
  <si>
    <t>D2. Communications are not always relieable</t>
  </si>
  <si>
    <t xml:space="preserve">D3. Poor communication with downstream downstream dam owners </t>
  </si>
  <si>
    <t>7. Industry of critical national importance downstream.</t>
  </si>
  <si>
    <t xml:space="preserve"> No Industry of critical national importance downstream.</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</si>
</sst>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112">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1"/>
      <color theme="1"/>
      <name val="Calibri"/>
      <family val="2"/>
    </font>
    <font>
      <sz val="11"/>
      <name val="Calibri"/>
      <family val="2"/>
    </font>
    <font>
      <b/>
      <sz val="11"/>
      <color theme="0"/>
      <name val="Calibri"/>
      <family val="2"/>
    </font>
    <font>
      <sz val="11"/>
      <color theme="0"/>
      <name val="Calibri"/>
      <family val="2"/>
    </font>
    <font>
      <b/>
      <sz val="12"/>
      <color rgb="FFFF0000"/>
      <name val="Calibri"/>
      <family val="2"/>
    </font>
    <font>
      <b/>
      <sz val="11"/>
      <color rgb="FFFF0000"/>
      <name val="Calibri"/>
      <family val="2"/>
    </font>
    <font>
      <b/>
      <sz val="14"/>
      <color theme="0"/>
      <name val="Calibri"/>
      <family val="2"/>
    </font>
    <font>
      <b/>
      <sz val="10"/>
      <color theme="1"/>
      <name val="Calibri"/>
      <family val="2"/>
    </font>
    <font>
      <b/>
      <sz val="10"/>
      <color theme="0"/>
      <name val="Calibri"/>
      <family val="2"/>
    </font>
    <font>
      <sz val="10"/>
      <color theme="1"/>
      <name val="Calibri"/>
      <family val="2"/>
    </font>
    <font>
      <sz val="12"/>
      <color theme="0"/>
      <name val="Calibri"/>
      <family val="2"/>
    </font>
    <font>
      <sz val="8"/>
      <color theme="1"/>
      <name val="Calibri"/>
      <family val="2"/>
    </font>
    <font>
      <b/>
      <u/>
      <sz val="11"/>
      <color theme="1"/>
      <name val="Calibri"/>
      <family val="2"/>
    </font>
    <font>
      <b/>
      <sz val="12"/>
      <color theme="0"/>
      <name val="Calibri"/>
      <family val="2"/>
    </font>
    <font>
      <b/>
      <sz val="12"/>
      <color rgb="FF0033CC"/>
      <name val="Calibri"/>
      <family val="2"/>
    </font>
    <font>
      <b/>
      <u/>
      <sz val="11"/>
      <color theme="1"/>
      <name val="Calibri"/>
      <family val="2"/>
    </font>
    <font>
      <b/>
      <sz val="12"/>
      <color theme="1"/>
      <name val="Calibri"/>
      <family val="2"/>
    </font>
    <font>
      <b/>
      <sz val="11"/>
      <color rgb="FF000000"/>
      <name val="Calibri"/>
      <family val="2"/>
    </font>
    <font>
      <sz val="12"/>
      <color theme="1"/>
      <name val="Calibri"/>
      <family val="2"/>
    </font>
    <font>
      <b/>
      <sz val="14"/>
      <color rgb="FFFFFF00"/>
      <name val="Calibri"/>
      <family val="2"/>
    </font>
    <font>
      <sz val="10"/>
      <color rgb="FF000000"/>
      <name val="Calibri"/>
      <family val="2"/>
    </font>
    <font>
      <sz val="9"/>
      <color theme="1"/>
      <name val="Calibri"/>
      <family val="2"/>
    </font>
    <font>
      <b/>
      <i/>
      <sz val="14"/>
      <color rgb="FFFFFFFF"/>
      <name val="Calibri"/>
      <family val="2"/>
    </font>
    <font>
      <b/>
      <i/>
      <sz val="14"/>
      <color theme="0"/>
      <name val="Calibri"/>
      <family val="2"/>
    </font>
    <font>
      <sz val="14"/>
      <color theme="1"/>
      <name val="Calibri"/>
      <family val="2"/>
    </font>
    <font>
      <sz val="10"/>
      <color theme="0"/>
      <name val="Calibri"/>
      <family val="2"/>
    </font>
    <font>
      <b/>
      <sz val="16"/>
      <color theme="0"/>
      <name val="Calibri"/>
      <family val="2"/>
    </font>
    <font>
      <b/>
      <sz val="16"/>
      <color rgb="FFFFFF00"/>
      <name val="Calibri"/>
      <family val="2"/>
    </font>
    <font>
      <b/>
      <sz val="11"/>
      <color rgb="FFFFFFFF"/>
      <name val="Calibri"/>
      <family val="2"/>
    </font>
    <font>
      <b/>
      <sz val="9"/>
      <color rgb="FFD0CECE"/>
      <name val="Calibri"/>
      <family val="2"/>
    </font>
    <font>
      <sz val="10"/>
      <color rgb="FFFF0000"/>
      <name val="Calibri"/>
      <family val="2"/>
    </font>
    <font>
      <b/>
      <sz val="14"/>
      <color rgb="FFFF0000"/>
      <name val="Calibri"/>
      <family val="2"/>
    </font>
    <font>
      <b/>
      <u/>
      <sz val="16"/>
      <color theme="1"/>
      <name val="Calibri"/>
      <family val="2"/>
    </font>
    <font>
      <b/>
      <u/>
      <sz val="16"/>
      <color theme="1"/>
      <name val="Calibri"/>
      <family val="2"/>
    </font>
    <font>
      <b/>
      <u/>
      <sz val="16"/>
      <color theme="1"/>
      <name val="Calibri"/>
      <family val="2"/>
    </font>
    <font>
      <b/>
      <u/>
      <sz val="10"/>
      <color rgb="FFFF0000"/>
      <name val="Calibri"/>
      <family val="2"/>
    </font>
    <font>
      <b/>
      <u/>
      <sz val="10"/>
      <color rgb="FFFF0000"/>
      <name val="Calibri"/>
      <family val="2"/>
    </font>
    <font>
      <b/>
      <sz val="18"/>
      <color rgb="FFFFFF00"/>
      <name val="Calibri"/>
      <family val="2"/>
    </font>
    <font>
      <b/>
      <sz val="10"/>
      <color theme="1"/>
      <name val="Walbaum Text"/>
      <family val="1"/>
    </font>
    <font>
      <b/>
      <sz val="16"/>
      <color theme="1"/>
      <name val="Calibri"/>
      <family val="2"/>
    </font>
    <font>
      <b/>
      <sz val="14"/>
      <color theme="1"/>
      <name val="Calibri"/>
      <family val="2"/>
    </font>
    <font>
      <b/>
      <sz val="10"/>
      <color rgb="FFFFFFFF"/>
      <name val="Calibri"/>
      <family val="2"/>
    </font>
    <font>
      <sz val="10"/>
      <color rgb="FF3F3F3F"/>
      <name val="Calibri"/>
      <family val="2"/>
    </font>
    <font>
      <b/>
      <sz val="10"/>
      <color rgb="FF000000"/>
      <name val="Calibri"/>
      <family val="2"/>
    </font>
    <font>
      <sz val="11"/>
      <color rgb="FFFF0000"/>
      <name val="Calibri"/>
      <family val="2"/>
    </font>
    <font>
      <b/>
      <sz val="16"/>
      <color rgb="FFFF0000"/>
      <name val="Calibri"/>
      <family val="2"/>
    </font>
    <font>
      <sz val="11"/>
      <color rgb="FF000000"/>
      <name val="Calibri"/>
      <family val="2"/>
    </font>
    <font>
      <b/>
      <sz val="11"/>
      <color theme="1"/>
      <name val="Walbaum Text"/>
      <family val="1"/>
    </font>
    <font>
      <sz val="16"/>
      <color theme="1"/>
      <name val="Calibri"/>
      <family val="2"/>
    </font>
    <font>
      <sz val="10"/>
      <color rgb="FF000000"/>
      <name val="+mj-lt"/>
    </font>
    <font>
      <b/>
      <u/>
      <sz val="10"/>
      <color theme="1"/>
      <name val="Calibri"/>
      <family val="2"/>
    </font>
    <font>
      <sz val="11"/>
      <color theme="1"/>
      <name val="Calibri"/>
      <family val="2"/>
    </font>
    <font>
      <sz val="11"/>
      <color rgb="FFC8C8C8"/>
      <name val="Calibri"/>
      <family val="2"/>
    </font>
    <font>
      <b/>
      <sz val="26"/>
      <color rgb="FFFF0000"/>
      <name val="Calibri"/>
      <family val="2"/>
    </font>
    <font>
      <sz val="10"/>
      <color theme="1"/>
      <name val="+mj-lt"/>
    </font>
    <font>
      <b/>
      <sz val="12"/>
      <color rgb="FFFFFFFF"/>
      <name val="Calibri"/>
      <family val="2"/>
    </font>
    <font>
      <b/>
      <sz val="11"/>
      <color rgb="FFC8C8C8"/>
      <name val="Calibri"/>
      <family val="2"/>
    </font>
    <font>
      <b/>
      <sz val="18"/>
      <color rgb="FFC8C8C8"/>
      <name val="Calibri"/>
      <family val="2"/>
    </font>
    <font>
      <b/>
      <sz val="18"/>
      <color rgb="FFFF0000"/>
      <name val="Calibri"/>
      <family val="2"/>
    </font>
    <font>
      <sz val="10"/>
      <color rgb="FF3A3838"/>
      <name val="Calibri"/>
      <family val="2"/>
    </font>
    <font>
      <sz val="12"/>
      <color rgb="FF000000"/>
      <name val="+mj-lt"/>
    </font>
    <font>
      <sz val="12"/>
      <color rgb="FF000000"/>
      <name val="Calibri"/>
      <family val="2"/>
    </font>
    <font>
      <sz val="10"/>
      <color theme="1"/>
      <name val="Times New Roman"/>
      <family val="1"/>
    </font>
    <font>
      <b/>
      <sz val="11"/>
      <color rgb="FFFFFF00"/>
      <name val="Calibri"/>
      <family val="2"/>
    </font>
    <font>
      <b/>
      <sz val="11"/>
      <color rgb="FF2E75B5"/>
      <name val="Calibri"/>
      <family val="2"/>
    </font>
    <font>
      <b/>
      <i/>
      <sz val="11"/>
      <color theme="1"/>
      <name val="Calibri"/>
      <family val="2"/>
    </font>
    <font>
      <b/>
      <sz val="10"/>
      <color rgb="FFFF0000"/>
      <name val="Calibri"/>
      <family val="2"/>
    </font>
    <font>
      <u/>
      <sz val="10"/>
      <color rgb="FFFF0000"/>
      <name val="Calibri"/>
      <family val="2"/>
    </font>
    <font>
      <vertAlign val="superscript"/>
      <sz val="10"/>
      <color rgb="FF000000"/>
      <name val="Calibri"/>
      <family val="2"/>
    </font>
    <font>
      <vertAlign val="superscript"/>
      <sz val="10"/>
      <color rgb="FFFF0000"/>
      <name val="Calibri"/>
      <family val="2"/>
    </font>
    <font>
      <b/>
      <strike/>
      <sz val="10"/>
      <color theme="1"/>
      <name val="Calibri"/>
      <family val="2"/>
    </font>
    <font>
      <b/>
      <i/>
      <sz val="10"/>
      <color theme="1"/>
      <name val="Calibri"/>
      <family val="2"/>
    </font>
    <font>
      <i/>
      <sz val="10"/>
      <color rgb="FF000000"/>
      <name val="Calibri"/>
      <family val="2"/>
    </font>
    <font>
      <vertAlign val="superscript"/>
      <sz val="10"/>
      <color theme="1"/>
      <name val="Calibri"/>
      <family val="2"/>
    </font>
    <font>
      <sz val="10"/>
      <color rgb="FF000000"/>
      <name val="Calibri"/>
      <family val="2"/>
    </font>
    <font>
      <sz val="11"/>
      <color theme="2" tint="-0.249977111117893"/>
      <name val="Calibri"/>
      <family val="2"/>
    </font>
    <font>
      <b/>
      <sz val="16"/>
      <color rgb="FFFFFF00"/>
      <name val="Calibri"/>
      <family val="2"/>
    </font>
    <font>
      <sz val="11"/>
      <color rgb="FFFFFF00"/>
      <name val="Calibri"/>
      <family val="2"/>
    </font>
    <font>
      <b/>
      <sz val="10"/>
      <color theme="1"/>
      <name val="Calibri"/>
      <family val="2"/>
    </font>
    <font>
      <b/>
      <sz val="11"/>
      <color theme="1"/>
      <name val="Calibri"/>
      <family val="2"/>
    </font>
    <font>
      <b/>
      <sz val="12"/>
      <color theme="1"/>
      <name val="Calibri"/>
      <family val="2"/>
    </font>
    <font>
      <b/>
      <sz val="11"/>
      <color rgb="FFFF0000"/>
      <name val="Calibri"/>
      <family val="2"/>
    </font>
    <font>
      <sz val="10"/>
      <color theme="1"/>
      <name val="Calibri"/>
      <family val="2"/>
    </font>
    <font>
      <b/>
      <sz val="10"/>
      <color theme="0"/>
      <name val="Calibri"/>
      <family val="2"/>
    </font>
    <font>
      <b/>
      <sz val="11"/>
      <color theme="0"/>
      <name val="Calibri"/>
      <family val="2"/>
    </font>
    <font>
      <b/>
      <sz val="12"/>
      <color theme="0"/>
      <name val="Calibri"/>
      <family val="2"/>
    </font>
    <font>
      <b/>
      <sz val="12"/>
      <color rgb="FFFF0000"/>
      <name val="Calibri"/>
      <family val="2"/>
    </font>
    <font>
      <b/>
      <sz val="11"/>
      <color rgb="FFFF0000"/>
      <name val="Calibri"/>
      <family val="2"/>
      <scheme val="minor"/>
    </font>
    <font>
      <b/>
      <sz val="10"/>
      <color rgb="FFFF0000"/>
      <name val="Calibri"/>
      <family val="2"/>
    </font>
    <font>
      <b/>
      <sz val="11"/>
      <color theme="1"/>
      <name val="Calibri"/>
      <family val="2"/>
      <scheme val="minor"/>
    </font>
    <font>
      <sz val="11"/>
      <color theme="1"/>
      <name val="Calibri"/>
      <family val="2"/>
    </font>
    <font>
      <sz val="10"/>
      <color rgb="FF000000"/>
      <name val="Calibri"/>
      <family val="2"/>
      <scheme val="minor"/>
    </font>
    <font>
      <vertAlign val="superscript"/>
      <sz val="10"/>
      <color rgb="FF000000"/>
      <name val="Calibri"/>
      <family val="2"/>
      <scheme val="minor"/>
    </font>
    <font>
      <b/>
      <sz val="16"/>
      <color theme="0"/>
      <name val="Calibri"/>
      <family val="2"/>
    </font>
    <font>
      <b/>
      <sz val="11"/>
      <name val="Calibri"/>
      <family val="2"/>
    </font>
    <font>
      <b/>
      <sz val="11"/>
      <color rgb="FFFFFF00"/>
      <name val="Calibri"/>
      <family val="2"/>
    </font>
    <font>
      <b/>
      <sz val="14"/>
      <color rgb="FFFFFF00"/>
      <name val="Calibri"/>
      <family val="2"/>
    </font>
    <font>
      <sz val="14"/>
      <name val="Calibri"/>
      <family val="2"/>
    </font>
    <font>
      <sz val="10"/>
      <color rgb="FF3F3F3F"/>
      <name val="Calibri"/>
      <family val="2"/>
    </font>
    <font>
      <sz val="10"/>
      <name val="Calibri"/>
      <family val="2"/>
    </font>
    <font>
      <b/>
      <sz val="10"/>
      <color rgb="FFFF0000"/>
      <name val="Docs-Calibri"/>
    </font>
    <font>
      <sz val="12"/>
      <name val="Calibri"/>
      <family val="2"/>
    </font>
    <font>
      <b/>
      <sz val="12"/>
      <name val="Calibri"/>
      <family val="2"/>
    </font>
    <font>
      <sz val="12"/>
      <color theme="1"/>
      <name val="Calibri"/>
      <family val="2"/>
      <scheme val="minor"/>
    </font>
    <font>
      <b/>
      <sz val="12"/>
      <color theme="1"/>
      <name val="Calibri"/>
      <family val="2"/>
      <scheme val="minor"/>
    </font>
    <font>
      <sz val="11"/>
      <color rgb="FFFF0000"/>
      <name val="Calibri"/>
      <family val="2"/>
      <scheme val="minor"/>
    </font>
  </fonts>
  <fills count="44">
    <fill>
      <patternFill patternType="none"/>
    </fill>
    <fill>
      <patternFill patternType="gray125"/>
    </fill>
    <fill>
      <patternFill patternType="solid">
        <fgColor theme="0"/>
        <bgColor theme="0"/>
      </patternFill>
    </fill>
    <fill>
      <patternFill patternType="solid">
        <fgColor rgb="FFFF0000"/>
        <bgColor rgb="FFFF0000"/>
      </patternFill>
    </fill>
    <fill>
      <patternFill patternType="solid">
        <fgColor rgb="FF2F5496"/>
        <bgColor rgb="FF2F5496"/>
      </patternFill>
    </fill>
    <fill>
      <patternFill patternType="solid">
        <fgColor rgb="FF0070C0"/>
        <bgColor rgb="FF0070C0"/>
      </patternFill>
    </fill>
    <fill>
      <patternFill patternType="solid">
        <fgColor rgb="FF8EAADB"/>
        <bgColor rgb="FF8EAADB"/>
      </patternFill>
    </fill>
    <fill>
      <patternFill patternType="solid">
        <fgColor rgb="FFD9E2F3"/>
        <bgColor rgb="FFD9E2F3"/>
      </patternFill>
    </fill>
    <fill>
      <patternFill patternType="solid">
        <fgColor rgb="FF89E0FF"/>
        <bgColor rgb="FF89E0FF"/>
      </patternFill>
    </fill>
    <fill>
      <patternFill patternType="solid">
        <fgColor rgb="FFBDD6EE"/>
        <bgColor rgb="FFBDD6EE"/>
      </patternFill>
    </fill>
    <fill>
      <patternFill patternType="solid">
        <fgColor rgb="FFC5E0B3"/>
        <bgColor rgb="FFC5E0B3"/>
      </patternFill>
    </fill>
    <fill>
      <patternFill patternType="solid">
        <fgColor theme="1"/>
        <bgColor theme="1"/>
      </patternFill>
    </fill>
    <fill>
      <patternFill patternType="solid">
        <fgColor rgb="FFAEABAB"/>
        <bgColor rgb="FFAEABAB"/>
      </patternFill>
    </fill>
    <fill>
      <patternFill patternType="solid">
        <fgColor rgb="FFFFFF00"/>
        <bgColor rgb="FFFFFF00"/>
      </patternFill>
    </fill>
    <fill>
      <patternFill patternType="solid">
        <fgColor rgb="FF9BC2E6"/>
        <bgColor rgb="FF9BC2E6"/>
      </patternFill>
    </fill>
    <fill>
      <patternFill patternType="solid">
        <fgColor rgb="FF0033CC"/>
        <bgColor rgb="FF0033CC"/>
      </patternFill>
    </fill>
    <fill>
      <patternFill patternType="solid">
        <fgColor rgb="FFD8D8D8"/>
        <bgColor rgb="FFD8D8D8"/>
      </patternFill>
    </fill>
    <fill>
      <patternFill patternType="solid">
        <fgColor rgb="FFFFFFFF"/>
        <bgColor rgb="FFFFFFFF"/>
      </patternFill>
    </fill>
    <fill>
      <patternFill patternType="solid">
        <fgColor rgb="FF3A3838"/>
        <bgColor rgb="FF3A3838"/>
      </patternFill>
    </fill>
    <fill>
      <patternFill patternType="solid">
        <fgColor rgb="FFD0CECE"/>
        <bgColor rgb="FFD0CECE"/>
      </patternFill>
    </fill>
    <fill>
      <patternFill patternType="solid">
        <fgColor rgb="FF757070"/>
        <bgColor rgb="FF757070"/>
      </patternFill>
    </fill>
    <fill>
      <patternFill patternType="solid">
        <fgColor rgb="FFDEEAF6"/>
        <bgColor rgb="FFDEEAF6"/>
      </patternFill>
    </fill>
    <fill>
      <patternFill patternType="solid">
        <fgColor rgb="FFF2F2F2"/>
        <bgColor rgb="FFF2F2F2"/>
      </patternFill>
    </fill>
    <fill>
      <patternFill patternType="solid">
        <fgColor rgb="FFB4C6E7"/>
        <bgColor rgb="FFB4C6E7"/>
      </patternFill>
    </fill>
    <fill>
      <patternFill patternType="solid">
        <fgColor rgb="FF2E75B5"/>
        <bgColor rgb="FF2E75B5"/>
      </patternFill>
    </fill>
    <fill>
      <patternFill patternType="solid">
        <fgColor rgb="FF9CC2E5"/>
        <bgColor rgb="FF9CC2E5"/>
      </patternFill>
    </fill>
    <fill>
      <patternFill patternType="solid">
        <fgColor rgb="FF0C0C0C"/>
        <bgColor rgb="FF0C0C0C"/>
      </patternFill>
    </fill>
    <fill>
      <patternFill patternType="solid">
        <fgColor theme="0"/>
        <bgColor indexed="64"/>
      </patternFill>
    </fill>
    <fill>
      <patternFill patternType="solid">
        <fgColor theme="1"/>
        <bgColor rgb="FF7F7F7F"/>
      </patternFill>
    </fill>
    <fill>
      <patternFill patternType="solid">
        <fgColor theme="2" tint="-0.14999847407452621"/>
        <bgColor indexed="64"/>
      </patternFill>
    </fill>
    <fill>
      <patternFill patternType="solid">
        <fgColor rgb="FFFF0000"/>
        <bgColor indexed="64"/>
      </patternFill>
    </fill>
    <fill>
      <patternFill patternType="solid">
        <fgColor theme="2" tint="-0.14999847407452621"/>
        <bgColor theme="0"/>
      </patternFill>
    </fill>
    <fill>
      <patternFill patternType="solid">
        <fgColor theme="1"/>
        <bgColor theme="0"/>
      </patternFill>
    </fill>
    <fill>
      <patternFill patternType="solid">
        <fgColor theme="1"/>
        <bgColor indexed="64"/>
      </patternFill>
    </fill>
    <fill>
      <patternFill patternType="solid">
        <fgColor theme="4" tint="0.59999389629810485"/>
        <bgColor indexed="64"/>
      </patternFill>
    </fill>
    <fill>
      <patternFill patternType="solid">
        <fgColor theme="4" tint="0.79998168889431442"/>
        <bgColor theme="0"/>
      </patternFill>
    </fill>
    <fill>
      <patternFill patternType="solid">
        <fgColor theme="3" tint="0.499984740745262"/>
        <bgColor theme="0"/>
      </patternFill>
    </fill>
    <fill>
      <patternFill patternType="solid">
        <fgColor theme="3" tint="0.499984740745262"/>
        <bgColor indexed="64"/>
      </patternFill>
    </fill>
    <fill>
      <patternFill patternType="solid">
        <fgColor theme="3" tint="0.499984740745262"/>
        <bgColor rgb="FF757070"/>
      </patternFill>
    </fill>
    <fill>
      <patternFill patternType="solid">
        <fgColor theme="4" tint="0.79998168889431442"/>
        <bgColor indexed="64"/>
      </patternFill>
    </fill>
    <fill>
      <patternFill patternType="solid">
        <fgColor rgb="FFFF0000"/>
        <bgColor theme="0"/>
      </patternFill>
    </fill>
    <fill>
      <patternFill patternType="solid">
        <fgColor theme="8" tint="0.59999389629810485"/>
        <bgColor indexed="64"/>
      </patternFill>
    </fill>
    <fill>
      <patternFill patternType="solid">
        <fgColor rgb="FFFFFF00"/>
        <bgColor indexed="64"/>
      </patternFill>
    </fill>
    <fill>
      <patternFill patternType="solid">
        <fgColor rgb="FFFF0000"/>
        <bgColor rgb="FF0033CC"/>
      </patternFill>
    </fill>
  </fills>
  <borders count="318">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ck">
        <color theme="0"/>
      </bottom>
      <diagonal/>
    </border>
    <border>
      <left/>
      <right/>
      <top style="medium">
        <color rgb="FF000000"/>
      </top>
      <bottom style="thick">
        <color theme="0"/>
      </bottom>
      <diagonal/>
    </border>
    <border>
      <left/>
      <right style="medium">
        <color rgb="FF000000"/>
      </right>
      <top style="medium">
        <color rgb="FF000000"/>
      </top>
      <bottom style="thick">
        <color theme="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top style="thick">
        <color theme="0"/>
      </top>
      <bottom style="thick">
        <color theme="0"/>
      </bottom>
      <diagonal/>
    </border>
    <border>
      <left/>
      <right/>
      <top style="thick">
        <color theme="0"/>
      </top>
      <bottom style="thick">
        <color theme="0"/>
      </bottom>
      <diagonal/>
    </border>
    <border>
      <left/>
      <right style="medium">
        <color rgb="FF000000"/>
      </right>
      <top style="thick">
        <color theme="0"/>
      </top>
      <bottom style="thick">
        <color theme="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top/>
      <bottom/>
      <diagonal/>
    </border>
    <border>
      <left style="medium">
        <color rgb="FF000000"/>
      </left>
      <right/>
      <top style="thin">
        <color rgb="FF000000"/>
      </top>
      <bottom/>
      <diagonal/>
    </border>
    <border>
      <left/>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top/>
      <bottom/>
      <diagonal/>
    </border>
    <border>
      <left/>
      <right/>
      <top/>
      <bottom/>
      <diagonal/>
    </border>
    <border>
      <left/>
      <right/>
      <top/>
      <bottom/>
      <diagonal/>
    </border>
    <border>
      <left style="medium">
        <color rgb="FF000000"/>
      </left>
      <right/>
      <top style="medium">
        <color rgb="FF000000"/>
      </top>
      <bottom style="medium">
        <color theme="0"/>
      </bottom>
      <diagonal/>
    </border>
    <border>
      <left/>
      <right/>
      <top style="medium">
        <color rgb="FF000000"/>
      </top>
      <bottom style="medium">
        <color theme="0"/>
      </bottom>
      <diagonal/>
    </border>
    <border>
      <left/>
      <right style="medium">
        <color rgb="FF000000"/>
      </right>
      <top style="medium">
        <color rgb="FF000000"/>
      </top>
      <bottom style="medium">
        <color theme="0"/>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000000"/>
      </right>
      <top style="medium">
        <color theme="0"/>
      </top>
      <bottom style="medium">
        <color theme="0"/>
      </bottom>
      <diagonal/>
    </border>
    <border>
      <left style="thin">
        <color rgb="FF000000"/>
      </left>
      <right/>
      <top/>
      <bottom/>
      <diagonal/>
    </border>
    <border>
      <left/>
      <right style="thin">
        <color rgb="FF000000"/>
      </right>
      <top/>
      <bottom/>
      <diagonal/>
    </border>
    <border>
      <left style="medium">
        <color theme="1"/>
      </left>
      <right/>
      <top style="medium">
        <color theme="0"/>
      </top>
      <bottom style="medium">
        <color theme="1"/>
      </bottom>
      <diagonal/>
    </border>
    <border>
      <left/>
      <right/>
      <top style="medium">
        <color theme="0"/>
      </top>
      <bottom style="medium">
        <color theme="1"/>
      </bottom>
      <diagonal/>
    </border>
    <border>
      <left/>
      <right style="medium">
        <color theme="1"/>
      </right>
      <top style="medium">
        <color theme="0"/>
      </top>
      <bottom style="medium">
        <color theme="1"/>
      </bottom>
      <diagonal/>
    </border>
    <border>
      <left style="medium">
        <color theme="1"/>
      </left>
      <right style="medium">
        <color theme="1"/>
      </right>
      <top style="medium">
        <color theme="1"/>
      </top>
      <bottom style="medium">
        <color theme="1"/>
      </bottom>
      <diagonal/>
    </border>
    <border>
      <left/>
      <right style="medium">
        <color rgb="FF000000"/>
      </right>
      <top style="medium">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right style="medium">
        <color rgb="FF000000"/>
      </right>
      <top/>
      <bottom/>
      <diagonal/>
    </border>
    <border>
      <left style="thick">
        <color rgb="FF0033CC"/>
      </left>
      <right style="thick">
        <color rgb="FF0033CC"/>
      </right>
      <top style="thick">
        <color rgb="FF0033CC"/>
      </top>
      <bottom/>
      <diagonal/>
    </border>
    <border>
      <left style="thick">
        <color rgb="FF0033CC"/>
      </left>
      <right style="thick">
        <color rgb="FF0033CC"/>
      </right>
      <top/>
      <bottom/>
      <diagonal/>
    </border>
    <border>
      <left style="thick">
        <color rgb="FF0033CC"/>
      </left>
      <right style="thick">
        <color rgb="FF0033CC"/>
      </right>
      <top/>
      <bottom style="thick">
        <color rgb="FF0033CC"/>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style="medium">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right style="medium">
        <color rgb="FF000000"/>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right style="medium">
        <color rgb="FF000000"/>
      </right>
      <top/>
      <bottom style="thin">
        <color rgb="FF000000"/>
      </bottom>
      <diagonal/>
    </border>
    <border>
      <left style="medium">
        <color rgb="FF000000"/>
      </left>
      <right style="medium">
        <color rgb="FF000000"/>
      </right>
      <top/>
      <bottom style="medium">
        <color rgb="FF000000"/>
      </bottom>
      <diagonal/>
    </border>
    <border>
      <left style="medium">
        <color rgb="FF000000"/>
      </left>
      <right/>
      <top style="thin">
        <color rgb="FF000000"/>
      </top>
      <bottom/>
      <diagonal/>
    </border>
    <border>
      <left style="medium">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bottom style="medium">
        <color rgb="FF000000"/>
      </bottom>
      <diagonal/>
    </border>
    <border>
      <left style="medium">
        <color rgb="FF000000"/>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ck">
        <color rgb="FFF2F2F2"/>
      </bottom>
      <diagonal/>
    </border>
    <border>
      <left style="thin">
        <color rgb="FF000000"/>
      </left>
      <right style="medium">
        <color rgb="FF000000"/>
      </right>
      <top style="thick">
        <color rgb="FFF2F2F2"/>
      </top>
      <bottom style="thick">
        <color rgb="FFF2F2F2"/>
      </bottom>
      <diagonal/>
    </border>
    <border>
      <left style="medium">
        <color rgb="FF000000"/>
      </left>
      <right style="thin">
        <color rgb="FF000000"/>
      </right>
      <top/>
      <bottom style="thin">
        <color rgb="FF000000"/>
      </bottom>
      <diagonal/>
    </border>
    <border>
      <left style="thin">
        <color rgb="FF000000"/>
      </left>
      <right style="medium">
        <color rgb="FF000000"/>
      </right>
      <top style="thick">
        <color rgb="FFF2F2F2"/>
      </top>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theme="0"/>
      </right>
      <top style="medium">
        <color rgb="FF000000"/>
      </top>
      <bottom style="medium">
        <color rgb="FF000000"/>
      </bottom>
      <diagonal/>
    </border>
    <border>
      <left style="medium">
        <color theme="0"/>
      </left>
      <right style="medium">
        <color rgb="FF000000"/>
      </right>
      <top style="medium">
        <color rgb="FF000000"/>
      </top>
      <bottom style="medium">
        <color rgb="FF000000"/>
      </bottom>
      <diagonal/>
    </border>
    <border>
      <left/>
      <right/>
      <top style="medium">
        <color rgb="FFADB9CA"/>
      </top>
      <bottom/>
      <diagonal/>
    </border>
    <border>
      <left/>
      <right style="thin">
        <color rgb="FF000000"/>
      </right>
      <top style="thin">
        <color rgb="FF000000"/>
      </top>
      <bottom style="thin">
        <color rgb="FF000000"/>
      </bottom>
      <diagonal/>
    </border>
    <border>
      <left style="medium">
        <color rgb="FF000000"/>
      </left>
      <right style="thin">
        <color rgb="FF000000"/>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medium">
        <color theme="0"/>
      </top>
      <bottom style="medium">
        <color theme="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ck">
        <color rgb="FF000000"/>
      </bottom>
      <diagonal/>
    </border>
    <border>
      <left/>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ck">
        <color theme="0"/>
      </right>
      <top style="medium">
        <color rgb="FF000000"/>
      </top>
      <bottom style="medium">
        <color rgb="FF000000"/>
      </bottom>
      <diagonal/>
    </border>
    <border>
      <left style="thick">
        <color theme="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medium">
        <color theme="0"/>
      </bottom>
      <diagonal/>
    </border>
    <border>
      <left style="thin">
        <color rgb="FF000000"/>
      </left>
      <right style="medium">
        <color rgb="FF000000"/>
      </right>
      <top style="thin">
        <color rgb="FF000000"/>
      </top>
      <bottom style="medium">
        <color theme="0"/>
      </bottom>
      <diagonal/>
    </border>
    <border>
      <left style="thin">
        <color rgb="FF000000"/>
      </left>
      <right style="thin">
        <color rgb="FF000000"/>
      </right>
      <top style="medium">
        <color theme="0"/>
      </top>
      <bottom style="medium">
        <color theme="0"/>
      </bottom>
      <diagonal/>
    </border>
    <border>
      <left style="thin">
        <color rgb="FF000000"/>
      </left>
      <right style="medium">
        <color rgb="FF000000"/>
      </right>
      <top style="medium">
        <color theme="0"/>
      </top>
      <bottom style="medium">
        <color theme="0"/>
      </bottom>
      <diagonal/>
    </border>
    <border>
      <left style="thin">
        <color rgb="FF000000"/>
      </left>
      <right style="thin">
        <color rgb="FF000000"/>
      </right>
      <top style="medium">
        <color theme="0"/>
      </top>
      <bottom style="thin">
        <color rgb="FF000000"/>
      </bottom>
      <diagonal/>
    </border>
    <border>
      <left style="thin">
        <color rgb="FF000000"/>
      </left>
      <right style="thin">
        <color rgb="FF000000"/>
      </right>
      <top style="medium">
        <color theme="0"/>
      </top>
      <bottom/>
      <diagonal/>
    </border>
    <border>
      <left style="thin">
        <color rgb="FF000000"/>
      </left>
      <right style="medium">
        <color rgb="FF000000"/>
      </right>
      <top style="medium">
        <color theme="0"/>
      </top>
      <bottom/>
      <diagonal/>
    </border>
    <border>
      <left style="thin">
        <color rgb="FF000000"/>
      </left>
      <right style="thin">
        <color rgb="FF000000"/>
      </right>
      <top/>
      <bottom style="medium">
        <color rgb="FF000000"/>
      </bottom>
      <diagonal/>
    </border>
    <border>
      <left/>
      <right style="medium">
        <color rgb="FF000000"/>
      </right>
      <top style="medium">
        <color rgb="FF000000"/>
      </top>
      <bottom style="medium">
        <color rgb="FF000000"/>
      </bottom>
      <diagonal/>
    </border>
    <border>
      <left/>
      <right style="medium">
        <color theme="0"/>
      </right>
      <top style="medium">
        <color rgb="FF000000"/>
      </top>
      <bottom style="medium">
        <color rgb="FF000000"/>
      </bottom>
      <diagonal/>
    </border>
    <border>
      <left style="medium">
        <color theme="0"/>
      </left>
      <right/>
      <top style="medium">
        <color rgb="FF000000"/>
      </top>
      <bottom style="medium">
        <color rgb="FF000000"/>
      </bottom>
      <diagonal/>
    </border>
    <border>
      <left style="thin">
        <color rgb="FF000000"/>
      </left>
      <right/>
      <top style="thin">
        <color rgb="FF000000"/>
      </top>
      <bottom/>
      <diagonal/>
    </border>
    <border>
      <left style="thin">
        <color rgb="FF000000"/>
      </left>
      <right/>
      <top/>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bottom style="thin">
        <color rgb="FF000000"/>
      </bottom>
      <diagonal/>
    </border>
    <border>
      <left style="medium">
        <color rgb="FF000000"/>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theme="0"/>
      </bottom>
      <diagonal/>
    </border>
    <border>
      <left/>
      <right/>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medium">
        <color theme="0"/>
      </top>
      <bottom style="medium">
        <color rgb="FF000000"/>
      </bottom>
      <diagonal/>
    </border>
    <border>
      <left/>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theme="0"/>
      </left>
      <right style="medium">
        <color theme="0"/>
      </right>
      <top style="medium">
        <color rgb="FF000000"/>
      </top>
      <bottom style="medium">
        <color rgb="FF000000"/>
      </bottom>
      <diagonal/>
    </border>
    <border>
      <left style="medium">
        <color theme="0"/>
      </left>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medium">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diagonal/>
    </border>
    <border>
      <left/>
      <right style="thick">
        <color rgb="FF000000"/>
      </right>
      <top style="thick">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thick">
        <color rgb="FF000000"/>
      </left>
      <right style="thin">
        <color rgb="FF000000"/>
      </right>
      <top style="thin">
        <color rgb="FF000000"/>
      </top>
      <bottom style="thin">
        <color rgb="FF000000"/>
      </bottom>
      <diagonal/>
    </border>
    <border>
      <left/>
      <right style="thick">
        <color rgb="FF000000"/>
      </right>
      <top/>
      <bottom/>
      <diagonal/>
    </border>
    <border>
      <left/>
      <right style="thick">
        <color rgb="FF000000"/>
      </right>
      <top/>
      <bottom style="thin">
        <color rgb="FF000000"/>
      </bottom>
      <diagonal/>
    </border>
    <border>
      <left/>
      <right style="thick">
        <color rgb="FF000000"/>
      </right>
      <top style="thin">
        <color rgb="FF000000"/>
      </top>
      <bottom/>
      <diagonal/>
    </border>
    <border>
      <left style="thick">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right style="thick">
        <color rgb="FF000000"/>
      </right>
      <top style="thin">
        <color rgb="FF000000"/>
      </top>
      <bottom style="thick">
        <color rgb="FF000000"/>
      </bottom>
      <diagonal/>
    </border>
    <border>
      <left style="thin">
        <color rgb="FF000000"/>
      </left>
      <right/>
      <top style="medium">
        <color rgb="FF000000"/>
      </top>
      <bottom style="thin">
        <color rgb="FF000000"/>
      </bottom>
      <diagonal/>
    </border>
    <border>
      <left style="medium">
        <color rgb="FF000000"/>
      </left>
      <right/>
      <top/>
      <bottom/>
      <diagonal/>
    </border>
    <border>
      <left/>
      <right/>
      <top/>
      <bottom/>
      <diagonal/>
    </border>
    <border>
      <left/>
      <right style="medium">
        <color rgb="FF000000"/>
      </right>
      <top/>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bottom style="medium">
        <color theme="0"/>
      </bottom>
      <diagonal/>
    </border>
    <border>
      <left style="thin">
        <color rgb="FF000000"/>
      </left>
      <right/>
      <top style="thin">
        <color rgb="FF000000"/>
      </top>
      <bottom style="medium">
        <color theme="0"/>
      </bottom>
      <diagonal/>
    </border>
    <border>
      <left style="thin">
        <color rgb="FF000000"/>
      </left>
      <right style="thin">
        <color rgb="FF000000"/>
      </right>
      <top style="thin">
        <color rgb="FF000000"/>
      </top>
      <bottom style="medium">
        <color rgb="FFF2F2F2"/>
      </bottom>
      <diagonal/>
    </border>
    <border>
      <left style="thin">
        <color rgb="FF000000"/>
      </left>
      <right/>
      <top style="medium">
        <color theme="0"/>
      </top>
      <bottom style="medium">
        <color theme="0"/>
      </bottom>
      <diagonal/>
    </border>
    <border>
      <left style="thin">
        <color rgb="FF000000"/>
      </left>
      <right style="thin">
        <color rgb="FF000000"/>
      </right>
      <top style="medium">
        <color rgb="FFF2F2F2"/>
      </top>
      <bottom style="medium">
        <color rgb="FFF2F2F2"/>
      </bottom>
      <diagonal/>
    </border>
    <border>
      <left style="thin">
        <color rgb="FF000000"/>
      </left>
      <right style="medium">
        <color rgb="FF000000"/>
      </right>
      <top style="medium">
        <color theme="0"/>
      </top>
      <bottom style="medium">
        <color rgb="FFF2F2F2"/>
      </bottom>
      <diagonal/>
    </border>
    <border>
      <left style="thin">
        <color rgb="FF000000"/>
      </left>
      <right style="medium">
        <color rgb="FF000000"/>
      </right>
      <top style="medium">
        <color rgb="FFF2F2F2"/>
      </top>
      <bottom style="medium">
        <color rgb="FFF2F2F2"/>
      </bottom>
      <diagonal/>
    </border>
    <border>
      <left style="thin">
        <color rgb="FF000000"/>
      </left>
      <right/>
      <top style="medium">
        <color theme="0"/>
      </top>
      <bottom style="thin">
        <color rgb="FF000000"/>
      </bottom>
      <diagonal/>
    </border>
    <border>
      <left style="thin">
        <color rgb="FF000000"/>
      </left>
      <right style="thin">
        <color rgb="FF000000"/>
      </right>
      <top style="medium">
        <color rgb="FFF2F2F2"/>
      </top>
      <bottom style="thin">
        <color rgb="FF000000"/>
      </bottom>
      <diagonal/>
    </border>
    <border>
      <left style="thin">
        <color rgb="FF000000"/>
      </left>
      <right style="medium">
        <color rgb="FF000000"/>
      </right>
      <top style="medium">
        <color rgb="FFF2F2F2"/>
      </top>
      <bottom style="thin">
        <color rgb="FF000000"/>
      </bottom>
      <diagonal/>
    </border>
    <border>
      <left/>
      <right style="thin">
        <color rgb="FF000000"/>
      </right>
      <top style="thin">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style="medium">
        <color theme="0"/>
      </right>
      <top style="medium">
        <color rgb="FF000000"/>
      </top>
      <bottom/>
      <diagonal/>
    </border>
    <border>
      <left style="medium">
        <color theme="0"/>
      </left>
      <right/>
      <top style="medium">
        <color rgb="FF000000"/>
      </top>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thin">
        <color rgb="FF000000"/>
      </top>
      <bottom style="thin">
        <color theme="0"/>
      </bottom>
      <diagonal/>
    </border>
    <border>
      <left style="thin">
        <color rgb="FF000000"/>
      </left>
      <right style="medium">
        <color rgb="FF000000"/>
      </right>
      <top style="thin">
        <color theme="0"/>
      </top>
      <bottom style="thin">
        <color theme="0"/>
      </bottom>
      <diagonal/>
    </border>
    <border>
      <left style="thin">
        <color rgb="FF000000"/>
      </left>
      <right style="thin">
        <color rgb="FF000000"/>
      </right>
      <top style="thin">
        <color rgb="FF000000"/>
      </top>
      <bottom style="thin">
        <color theme="0"/>
      </bottom>
      <diagonal/>
    </border>
    <border>
      <left style="thin">
        <color rgb="FF000000"/>
      </left>
      <right style="thin">
        <color rgb="FF000000"/>
      </right>
      <top style="thin">
        <color theme="0"/>
      </top>
      <bottom style="thin">
        <color theme="0"/>
      </bottom>
      <diagonal/>
    </border>
    <border>
      <left style="thin">
        <color rgb="FF000000"/>
      </left>
      <right style="thin">
        <color rgb="FF000000"/>
      </right>
      <top style="thin">
        <color theme="0"/>
      </top>
      <bottom style="thin">
        <color rgb="FF000000"/>
      </bottom>
      <diagonal/>
    </border>
    <border>
      <left style="thin">
        <color rgb="FF000000"/>
      </left>
      <right style="medium">
        <color rgb="FF000000"/>
      </right>
      <top style="thin">
        <color theme="0"/>
      </top>
      <bottom style="thin">
        <color rgb="FF000000"/>
      </bottom>
      <diagonal/>
    </border>
    <border>
      <left style="thick">
        <color theme="0"/>
      </left>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right style="medium">
        <color rgb="FF000000"/>
      </right>
      <top style="thin">
        <color rgb="FF000000"/>
      </top>
      <bottom/>
      <diagonal/>
    </border>
    <border>
      <left/>
      <right style="medium">
        <color rgb="FF000000"/>
      </right>
      <top/>
      <bottom/>
      <diagonal/>
    </border>
    <border>
      <left/>
      <right style="medium">
        <color rgb="FF000000"/>
      </right>
      <top/>
      <bottom style="thin">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rgb="FF000000"/>
      </left>
      <right style="medium">
        <color rgb="FF000000"/>
      </right>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diagonal/>
    </border>
    <border>
      <left style="thin">
        <color theme="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diagonal/>
    </border>
    <border>
      <left/>
      <right style="medium">
        <color rgb="FF000000"/>
      </right>
      <top style="thin">
        <color rgb="FF000000"/>
      </top>
      <bottom/>
      <diagonal/>
    </border>
    <border>
      <left style="thin">
        <color rgb="FF000000"/>
      </left>
      <right/>
      <top/>
      <bottom style="medium">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diagonal/>
    </border>
    <border>
      <left style="thin">
        <color rgb="FF000000"/>
      </left>
      <right style="medium">
        <color rgb="FF000000"/>
      </right>
      <top style="medium">
        <color theme="0"/>
      </top>
      <bottom style="thin">
        <color rgb="FF000000"/>
      </bottom>
      <diagonal/>
    </border>
    <border>
      <left style="thin">
        <color rgb="FF000000"/>
      </left>
      <right style="medium">
        <color rgb="FF000000"/>
      </right>
      <top style="thin">
        <color rgb="FF000000"/>
      </top>
      <bottom style="medium">
        <color rgb="FFF2F2F2"/>
      </bottom>
      <diagonal/>
    </border>
    <border>
      <left style="thin">
        <color rgb="FF000000"/>
      </left>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medium">
        <color theme="0"/>
      </top>
      <bottom style="medium">
        <color rgb="FF000000"/>
      </bottom>
      <diagonal/>
    </border>
    <border>
      <left style="thin">
        <color rgb="FF000000"/>
      </left>
      <right style="medium">
        <color rgb="FF000000"/>
      </right>
      <top style="medium">
        <color theme="0"/>
      </top>
      <bottom style="medium">
        <color rgb="FF000000"/>
      </bottom>
      <diagonal/>
    </border>
    <border>
      <left style="thin">
        <color theme="1"/>
      </left>
      <right style="thin">
        <color rgb="FF000000"/>
      </right>
      <top style="thin">
        <color rgb="FF000000"/>
      </top>
      <bottom style="medium">
        <color theme="0"/>
      </bottom>
      <diagonal/>
    </border>
    <border>
      <left style="thin">
        <color theme="1"/>
      </left>
      <right style="thin">
        <color rgb="FF000000"/>
      </right>
      <top style="medium">
        <color theme="0"/>
      </top>
      <bottom style="medium">
        <color theme="0"/>
      </bottom>
      <diagonal/>
    </border>
    <border>
      <left/>
      <right style="thin">
        <color rgb="FF000000"/>
      </right>
      <top/>
      <bottom style="medium">
        <color rgb="FF000000"/>
      </bottom>
      <diagonal/>
    </border>
    <border>
      <left/>
      <right/>
      <top style="medium">
        <color rgb="FF000000"/>
      </top>
      <bottom style="medium">
        <color rgb="FF000000"/>
      </bottom>
      <diagonal/>
    </border>
    <border>
      <left/>
      <right/>
      <top/>
      <bottom style="thin">
        <color rgb="FF000000"/>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bottom/>
      <diagonal/>
    </border>
    <border>
      <left style="thin">
        <color rgb="FF000000"/>
      </left>
      <right style="thin">
        <color rgb="FF000000"/>
      </right>
      <top style="medium">
        <color rgb="FF000000"/>
      </top>
      <bottom style="medium">
        <color theme="0"/>
      </bottom>
      <diagonal/>
    </border>
    <border>
      <left/>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top/>
      <bottom/>
      <diagonal/>
    </border>
    <border>
      <left/>
      <right style="thin">
        <color rgb="FF000000"/>
      </right>
      <top/>
      <bottom/>
      <diagonal/>
    </border>
    <border>
      <left style="thin">
        <color rgb="FF000000"/>
      </left>
      <right style="medium">
        <color theme="0"/>
      </right>
      <top style="thin">
        <color rgb="FF000000"/>
      </top>
      <bottom style="medium">
        <color rgb="FF000000"/>
      </bottom>
      <diagonal/>
    </border>
    <border>
      <left style="medium">
        <color theme="0"/>
      </left>
      <right style="medium">
        <color theme="0"/>
      </right>
      <top style="thin">
        <color rgb="FF000000"/>
      </top>
      <bottom style="medium">
        <color rgb="FF000000"/>
      </bottom>
      <diagonal/>
    </border>
    <border>
      <left style="medium">
        <color theme="0"/>
      </left>
      <right style="thin">
        <color rgb="FF000000"/>
      </right>
      <top style="thin">
        <color rgb="FF000000"/>
      </top>
      <bottom style="medium">
        <color rgb="FF000000"/>
      </bottom>
      <diagonal/>
    </border>
    <border>
      <left style="thin">
        <color rgb="FF000000"/>
      </left>
      <right style="thin">
        <color rgb="FF000000"/>
      </right>
      <top/>
      <bottom style="medium">
        <color theme="0"/>
      </bottom>
      <diagonal/>
    </border>
    <border>
      <left style="thin">
        <color rgb="FF000000"/>
      </left>
      <right style="thin">
        <color rgb="FF000000"/>
      </right>
      <top style="medium">
        <color theme="0"/>
      </top>
      <bottom style="thin">
        <color theme="1"/>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rgb="FF000000"/>
      </right>
      <top style="medium">
        <color rgb="FFF2F2F2"/>
      </top>
      <bottom style="medium">
        <color rgb="FFF2F2F2"/>
      </bottom>
      <diagonal/>
    </border>
    <border>
      <left/>
      <right style="medium">
        <color rgb="FF000000"/>
      </right>
      <top style="medium">
        <color rgb="FFF2F2F2"/>
      </top>
      <bottom style="thin">
        <color rgb="FF000000"/>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auto="1"/>
      </left>
      <right/>
      <top style="medium">
        <color auto="1"/>
      </top>
      <bottom style="thick">
        <color theme="0"/>
      </bottom>
      <diagonal/>
    </border>
    <border>
      <left/>
      <right style="medium">
        <color auto="1"/>
      </right>
      <top style="medium">
        <color auto="1"/>
      </top>
      <bottom style="thick">
        <color theme="0"/>
      </bottom>
      <diagonal/>
    </border>
    <border>
      <left style="medium">
        <color auto="1"/>
      </left>
      <right/>
      <top style="thick">
        <color theme="0"/>
      </top>
      <bottom style="medium">
        <color auto="1"/>
      </bottom>
      <diagonal/>
    </border>
    <border>
      <left/>
      <right style="medium">
        <color auto="1"/>
      </right>
      <top style="thick">
        <color theme="0"/>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theme="1"/>
      </left>
      <right/>
      <top style="double">
        <color theme="1"/>
      </top>
      <bottom style="double">
        <color theme="1"/>
      </bottom>
      <diagonal/>
    </border>
    <border>
      <left/>
      <right/>
      <top style="double">
        <color theme="1"/>
      </top>
      <bottom style="double">
        <color theme="1"/>
      </bottom>
      <diagonal/>
    </border>
    <border>
      <left/>
      <right style="double">
        <color theme="1"/>
      </right>
      <top style="double">
        <color theme="1"/>
      </top>
      <bottom style="double">
        <color theme="1"/>
      </bottom>
      <diagonal/>
    </border>
    <border>
      <left style="thick">
        <color rgb="FFFF0000"/>
      </left>
      <right style="thick">
        <color rgb="FFFF0000"/>
      </right>
      <top style="thick">
        <color rgb="FFFF0000"/>
      </top>
      <bottom style="medium">
        <color rgb="FFFF0000"/>
      </bottom>
      <diagonal/>
    </border>
    <border>
      <left style="thick">
        <color rgb="FFFF0000"/>
      </left>
      <right style="thick">
        <color rgb="FFFF0000"/>
      </right>
      <top style="medium">
        <color rgb="FFFF0000"/>
      </top>
      <bottom style="thick">
        <color rgb="FFFF0000"/>
      </bottom>
      <diagonal/>
    </border>
    <border>
      <left style="medium">
        <color rgb="FF000000"/>
      </left>
      <right/>
      <top style="thick">
        <color theme="0"/>
      </top>
      <bottom style="medium">
        <color theme="0"/>
      </bottom>
      <diagonal/>
    </border>
    <border>
      <left style="medium">
        <color rgb="FF000000"/>
      </left>
      <right/>
      <top style="medium">
        <color theme="0"/>
      </top>
      <bottom style="medium">
        <color theme="0"/>
      </bottom>
      <diagonal/>
    </border>
    <border>
      <left/>
      <right style="thin">
        <color indexed="64"/>
      </right>
      <top/>
      <bottom/>
      <diagonal/>
    </border>
    <border>
      <left style="medium">
        <color rgb="FF000000"/>
      </left>
      <right/>
      <top/>
      <bottom style="thick">
        <color theme="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000000"/>
      </left>
      <right/>
      <top style="medium">
        <color theme="0"/>
      </top>
      <bottom/>
      <diagonal/>
    </border>
    <border>
      <left style="medium">
        <color rgb="FF000000"/>
      </left>
      <right/>
      <top/>
      <bottom style="medium">
        <color theme="0"/>
      </bottom>
      <diagonal/>
    </border>
    <border>
      <left/>
      <right/>
      <top style="medium">
        <color theme="0"/>
      </top>
      <bottom/>
      <diagonal/>
    </border>
    <border>
      <left/>
      <right/>
      <top/>
      <bottom style="medium">
        <color theme="0"/>
      </bottom>
      <diagonal/>
    </border>
    <border>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style="thin">
        <color rgb="FF000000"/>
      </right>
      <top style="medium">
        <color indexed="64"/>
      </top>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indexed="64"/>
      </left>
      <right style="medium">
        <color indexed="64"/>
      </right>
      <top style="medium">
        <color indexed="64"/>
      </top>
      <bottom/>
      <diagonal/>
    </border>
    <border>
      <left style="medium">
        <color indexed="64"/>
      </left>
      <right style="thin">
        <color rgb="FF000000"/>
      </right>
      <top/>
      <bottom/>
      <diagonal/>
    </border>
    <border>
      <left style="thin">
        <color indexed="64"/>
      </left>
      <right style="medium">
        <color indexed="64"/>
      </right>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indexed="64"/>
      </left>
      <right style="medium">
        <color indexed="64"/>
      </right>
      <top/>
      <bottom style="medium">
        <color indexed="64"/>
      </bottom>
      <diagonal/>
    </border>
    <border>
      <left style="medium">
        <color rgb="FF000000"/>
      </left>
      <right style="thick">
        <color theme="0"/>
      </right>
      <top style="medium">
        <color rgb="FF000000"/>
      </top>
      <bottom style="medium">
        <color rgb="FF000000"/>
      </bottom>
      <diagonal/>
    </border>
    <border>
      <left style="thick">
        <color theme="0"/>
      </left>
      <right style="thick">
        <color theme="0"/>
      </right>
      <top style="medium">
        <color rgb="FF000000"/>
      </top>
      <bottom style="medium">
        <color rgb="FF000000"/>
      </bottom>
      <diagonal/>
    </border>
    <border>
      <left style="thick">
        <color theme="0"/>
      </left>
      <right style="thick">
        <color theme="0"/>
      </right>
      <top style="medium">
        <color indexed="64"/>
      </top>
      <bottom style="medium">
        <color indexed="64"/>
      </bottom>
      <diagonal/>
    </border>
    <border>
      <left style="thick">
        <color theme="0"/>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1535">
    <xf numFmtId="0" fontId="0" fillId="0" borderId="0" xfId="0"/>
    <xf numFmtId="0" fontId="5" fillId="2" borderId="1" xfId="0" applyFont="1" applyFill="1" applyBorder="1"/>
    <xf numFmtId="49" fontId="9" fillId="2" borderId="1" xfId="0" applyNumberFormat="1" applyFont="1" applyFill="1" applyBorder="1" applyAlignment="1">
      <alignment vertical="center"/>
    </xf>
    <xf numFmtId="0" fontId="11" fillId="2" borderId="1" xfId="0" applyFont="1" applyFill="1" applyBorder="1" applyAlignment="1">
      <alignment vertical="center"/>
    </xf>
    <xf numFmtId="49" fontId="9" fillId="2" borderId="14" xfId="0" applyNumberFormat="1" applyFont="1" applyFill="1" applyBorder="1" applyAlignment="1">
      <alignment vertical="center"/>
    </xf>
    <xf numFmtId="0" fontId="6" fillId="2" borderId="14" xfId="0" applyFont="1" applyFill="1" applyBorder="1" applyAlignment="1">
      <alignment horizontal="center" vertical="center"/>
    </xf>
    <xf numFmtId="0" fontId="11" fillId="2" borderId="1" xfId="0" applyFont="1" applyFill="1" applyBorder="1" applyAlignment="1">
      <alignment horizontal="center" vertical="center"/>
    </xf>
    <xf numFmtId="0" fontId="6" fillId="2" borderId="1" xfId="0" applyFont="1" applyFill="1" applyBorder="1" applyAlignment="1">
      <alignment horizontal="right" vertical="center"/>
    </xf>
    <xf numFmtId="0" fontId="6" fillId="2" borderId="19" xfId="0" applyFont="1" applyFill="1" applyBorder="1" applyAlignment="1">
      <alignment horizontal="right" vertical="center"/>
    </xf>
    <xf numFmtId="0" fontId="6" fillId="2" borderId="19" xfId="0" applyFont="1" applyFill="1" applyBorder="1" applyAlignment="1">
      <alignment horizontal="center" vertical="center"/>
    </xf>
    <xf numFmtId="0" fontId="6" fillId="2" borderId="1" xfId="0" applyFont="1" applyFill="1" applyBorder="1" applyAlignment="1">
      <alignment horizontal="center" vertical="center"/>
    </xf>
    <xf numFmtId="0" fontId="9" fillId="0" borderId="0" xfId="0" applyFont="1" applyAlignment="1">
      <alignment wrapText="1"/>
    </xf>
    <xf numFmtId="0" fontId="9" fillId="2" borderId="1" xfId="0" applyFont="1" applyFill="1" applyBorder="1" applyAlignment="1">
      <alignment wrapText="1"/>
    </xf>
    <xf numFmtId="0" fontId="5" fillId="0" borderId="0" xfId="0" applyFont="1" applyAlignment="1">
      <alignment horizontal="right"/>
    </xf>
    <xf numFmtId="0" fontId="5" fillId="2" borderId="1" xfId="0" applyFont="1" applyFill="1" applyBorder="1" applyAlignment="1">
      <alignment horizontal="center"/>
    </xf>
    <xf numFmtId="0" fontId="12" fillId="2" borderId="1" xfId="0" applyFont="1" applyFill="1" applyBorder="1" applyAlignment="1">
      <alignment vertical="center"/>
    </xf>
    <xf numFmtId="0" fontId="5" fillId="0" borderId="0" xfId="0" applyFont="1" applyAlignment="1">
      <alignment horizontal="center"/>
    </xf>
    <xf numFmtId="0" fontId="13" fillId="2" borderId="1" xfId="0" applyFont="1" applyFill="1" applyBorder="1"/>
    <xf numFmtId="0" fontId="13" fillId="2" borderId="20" xfId="0" applyFont="1" applyFill="1" applyBorder="1" applyAlignment="1">
      <alignment horizontal="center" vertical="center"/>
    </xf>
    <xf numFmtId="0" fontId="6" fillId="6" borderId="25" xfId="0" applyFont="1" applyFill="1" applyBorder="1"/>
    <xf numFmtId="0" fontId="13" fillId="2" borderId="14" xfId="0" applyFont="1" applyFill="1" applyBorder="1" applyAlignment="1">
      <alignment horizontal="center"/>
    </xf>
    <xf numFmtId="0" fontId="13" fillId="2" borderId="1" xfId="0" applyFont="1" applyFill="1" applyBorder="1" applyAlignment="1">
      <alignment horizontal="center"/>
    </xf>
    <xf numFmtId="0" fontId="14" fillId="2" borderId="1" xfId="0" applyFont="1" applyFill="1" applyBorder="1"/>
    <xf numFmtId="0" fontId="13" fillId="0" borderId="0" xfId="0" applyFont="1"/>
    <xf numFmtId="0" fontId="15" fillId="2" borderId="1" xfId="0" applyFont="1" applyFill="1" applyBorder="1"/>
    <xf numFmtId="0" fontId="14" fillId="5" borderId="27" xfId="0" applyFont="1" applyFill="1" applyBorder="1" applyAlignment="1">
      <alignment horizontal="center" vertical="center"/>
    </xf>
    <xf numFmtId="0" fontId="14" fillId="5" borderId="28" xfId="0" applyFont="1" applyFill="1" applyBorder="1" applyAlignment="1">
      <alignment horizontal="center" vertical="center"/>
    </xf>
    <xf numFmtId="0" fontId="8" fillId="5" borderId="28" xfId="0" applyFont="1" applyFill="1" applyBorder="1" applyAlignment="1">
      <alignment horizontal="center" vertical="center"/>
    </xf>
    <xf numFmtId="0" fontId="8" fillId="5" borderId="29" xfId="0" applyFont="1" applyFill="1" applyBorder="1" applyAlignment="1">
      <alignment horizontal="center" vertical="center" wrapText="1"/>
    </xf>
    <xf numFmtId="3" fontId="13" fillId="2" borderId="20" xfId="0" applyNumberFormat="1" applyFont="1" applyFill="1" applyBorder="1" applyAlignment="1">
      <alignment horizontal="center" vertical="center"/>
    </xf>
    <xf numFmtId="0" fontId="6" fillId="6" borderId="30" xfId="0" applyFont="1" applyFill="1" applyBorder="1"/>
    <xf numFmtId="0" fontId="15" fillId="2" borderId="14" xfId="0" applyFont="1" applyFill="1" applyBorder="1" applyAlignment="1">
      <alignment horizontal="center"/>
    </xf>
    <xf numFmtId="0" fontId="15" fillId="2" borderId="1" xfId="0" applyFont="1" applyFill="1" applyBorder="1" applyAlignment="1">
      <alignment horizontal="center"/>
    </xf>
    <xf numFmtId="0" fontId="15" fillId="0" borderId="0" xfId="0" applyFont="1"/>
    <xf numFmtId="164" fontId="14" fillId="5" borderId="27" xfId="0" applyNumberFormat="1" applyFont="1" applyFill="1" applyBorder="1" applyAlignment="1">
      <alignment horizontal="center" vertical="center"/>
    </xf>
    <xf numFmtId="164" fontId="14" fillId="5" borderId="28" xfId="0" applyNumberFormat="1" applyFont="1" applyFill="1" applyBorder="1" applyAlignment="1">
      <alignment horizontal="center" vertical="center"/>
    </xf>
    <xf numFmtId="164" fontId="8" fillId="5" borderId="28" xfId="0" applyNumberFormat="1" applyFont="1" applyFill="1" applyBorder="1" applyAlignment="1">
      <alignment horizontal="center" vertical="center"/>
    </xf>
    <xf numFmtId="3" fontId="8" fillId="5" borderId="29" xfId="0" applyNumberFormat="1" applyFont="1" applyFill="1" applyBorder="1" applyAlignment="1">
      <alignment horizontal="center" vertical="center"/>
    </xf>
    <xf numFmtId="165" fontId="5" fillId="8" borderId="35" xfId="0" applyNumberFormat="1" applyFont="1" applyFill="1" applyBorder="1" applyAlignment="1">
      <alignment horizontal="center" vertical="center"/>
    </xf>
    <xf numFmtId="0" fontId="15" fillId="2" borderId="20" xfId="0" applyFont="1" applyFill="1" applyBorder="1" applyAlignment="1">
      <alignment horizontal="center"/>
    </xf>
    <xf numFmtId="0" fontId="6" fillId="6" borderId="37" xfId="0" applyFont="1" applyFill="1" applyBorder="1"/>
    <xf numFmtId="9" fontId="6" fillId="0" borderId="39" xfId="0" applyNumberFormat="1" applyFont="1" applyBorder="1" applyAlignment="1">
      <alignment horizontal="center" vertical="center"/>
    </xf>
    <xf numFmtId="9" fontId="6" fillId="0" borderId="40" xfId="0" applyNumberFormat="1" applyFont="1" applyBorder="1" applyAlignment="1">
      <alignment horizontal="center" vertical="center"/>
    </xf>
    <xf numFmtId="9" fontId="6" fillId="0" borderId="41" xfId="0" applyNumberFormat="1" applyFont="1" applyBorder="1" applyAlignment="1">
      <alignment horizontal="center" vertical="center"/>
    </xf>
    <xf numFmtId="0" fontId="15" fillId="2" borderId="19" xfId="0" applyFont="1" applyFill="1" applyBorder="1" applyAlignment="1">
      <alignment horizontal="center"/>
    </xf>
    <xf numFmtId="0" fontId="15" fillId="2" borderId="19" xfId="0" applyFont="1" applyFill="1" applyBorder="1"/>
    <xf numFmtId="1" fontId="5" fillId="0" borderId="42" xfId="0" applyNumberFormat="1" applyFont="1" applyBorder="1" applyAlignment="1">
      <alignment horizontal="center" vertical="center"/>
    </xf>
    <xf numFmtId="1" fontId="5" fillId="0" borderId="43" xfId="0" applyNumberFormat="1" applyFont="1" applyBorder="1" applyAlignment="1">
      <alignment horizontal="center" vertical="center"/>
    </xf>
    <xf numFmtId="3" fontId="5" fillId="0" borderId="44" xfId="0" applyNumberFormat="1" applyFont="1" applyBorder="1" applyAlignment="1">
      <alignment horizontal="center" vertical="center"/>
    </xf>
    <xf numFmtId="0" fontId="12" fillId="2" borderId="1" xfId="0" applyFont="1" applyFill="1" applyBorder="1" applyAlignment="1">
      <alignment horizontal="center" vertical="center"/>
    </xf>
    <xf numFmtId="0" fontId="5" fillId="9" borderId="46" xfId="0" applyFont="1" applyFill="1" applyBorder="1" applyAlignment="1">
      <alignment horizontal="center"/>
    </xf>
    <xf numFmtId="0" fontId="5" fillId="9" borderId="47" xfId="0" applyFont="1" applyFill="1" applyBorder="1" applyAlignment="1">
      <alignment horizontal="center"/>
    </xf>
    <xf numFmtId="0" fontId="6" fillId="9" borderId="47" xfId="0" applyFont="1" applyFill="1" applyBorder="1" applyAlignment="1">
      <alignment horizontal="center"/>
    </xf>
    <xf numFmtId="0" fontId="6" fillId="9" borderId="48" xfId="0" applyFont="1" applyFill="1" applyBorder="1" applyAlignment="1">
      <alignment horizontal="center"/>
    </xf>
    <xf numFmtId="0" fontId="19" fillId="0" borderId="0" xfId="0" applyFont="1" applyAlignment="1">
      <alignment horizontal="left" vertical="top" wrapText="1"/>
    </xf>
    <xf numFmtId="0" fontId="19" fillId="2" borderId="1" xfId="0" applyFont="1" applyFill="1" applyBorder="1" applyAlignment="1">
      <alignment horizontal="left" vertical="top" wrapText="1"/>
    </xf>
    <xf numFmtId="164" fontId="5" fillId="10" borderId="1" xfId="0" applyNumberFormat="1" applyFont="1" applyFill="1" applyBorder="1" applyAlignment="1">
      <alignment horizontal="center"/>
    </xf>
    <xf numFmtId="9" fontId="5" fillId="10" borderId="51" xfId="0" applyNumberFormat="1" applyFont="1" applyFill="1" applyBorder="1" applyAlignment="1">
      <alignment horizontal="center"/>
    </xf>
    <xf numFmtId="0" fontId="24" fillId="2" borderId="1" xfId="0" applyFont="1" applyFill="1" applyBorder="1"/>
    <xf numFmtId="0" fontId="24" fillId="0" borderId="0" xfId="0" applyFont="1"/>
    <xf numFmtId="0" fontId="6" fillId="2" borderId="1" xfId="0" applyFont="1" applyFill="1" applyBorder="1"/>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59" xfId="0" applyFont="1" applyBorder="1" applyAlignment="1">
      <alignment horizontal="center" vertical="center"/>
    </xf>
    <xf numFmtId="0" fontId="6" fillId="2" borderId="41" xfId="0" applyFont="1" applyFill="1" applyBorder="1" applyAlignment="1">
      <alignment horizontal="center" vertical="center"/>
    </xf>
    <xf numFmtId="0" fontId="13" fillId="0" borderId="39" xfId="0" applyFont="1" applyBorder="1"/>
    <xf numFmtId="0" fontId="13" fillId="0" borderId="40" xfId="0" applyFont="1" applyBorder="1" applyAlignment="1">
      <alignment horizontal="center" wrapText="1"/>
    </xf>
    <xf numFmtId="0" fontId="13" fillId="2" borderId="51" xfId="0" applyFont="1" applyFill="1" applyBorder="1" applyAlignment="1">
      <alignment horizontal="center" vertical="center"/>
    </xf>
    <xf numFmtId="0" fontId="15" fillId="0" borderId="39" xfId="0" applyFont="1" applyBorder="1"/>
    <xf numFmtId="0" fontId="15" fillId="0" borderId="40" xfId="0" applyFont="1" applyBorder="1" applyAlignment="1">
      <alignment horizontal="center"/>
    </xf>
    <xf numFmtId="164" fontId="13" fillId="2" borderId="61" xfId="0" applyNumberFormat="1" applyFont="1" applyFill="1" applyBorder="1" applyAlignment="1">
      <alignment horizontal="center" vertical="center"/>
    </xf>
    <xf numFmtId="0" fontId="15" fillId="0" borderId="39" xfId="0" applyFont="1" applyBorder="1" applyAlignment="1">
      <alignment wrapText="1"/>
    </xf>
    <xf numFmtId="164" fontId="13" fillId="2" borderId="66" xfId="0" applyNumberFormat="1" applyFont="1" applyFill="1" applyBorder="1" applyAlignment="1">
      <alignment horizontal="center" vertical="center"/>
    </xf>
    <xf numFmtId="164" fontId="13" fillId="2" borderId="70" xfId="0" applyNumberFormat="1" applyFont="1" applyFill="1" applyBorder="1" applyAlignment="1">
      <alignment horizontal="center" vertical="center"/>
    </xf>
    <xf numFmtId="0" fontId="15" fillId="0" borderId="39" xfId="0" applyFont="1" applyBorder="1" applyAlignment="1">
      <alignment vertical="center"/>
    </xf>
    <xf numFmtId="0" fontId="15" fillId="0" borderId="40" xfId="0" applyFont="1" applyBorder="1" applyAlignment="1">
      <alignment horizontal="center" wrapText="1"/>
    </xf>
    <xf numFmtId="164" fontId="13" fillId="2" borderId="61" xfId="0" applyNumberFormat="1" applyFont="1" applyFill="1" applyBorder="1" applyAlignment="1">
      <alignment vertical="center"/>
    </xf>
    <xf numFmtId="164" fontId="13" fillId="2" borderId="70" xfId="0" applyNumberFormat="1" applyFont="1" applyFill="1" applyBorder="1" applyAlignment="1">
      <alignment vertical="center"/>
    </xf>
    <xf numFmtId="1" fontId="14" fillId="2" borderId="61" xfId="0" applyNumberFormat="1" applyFont="1" applyFill="1" applyBorder="1" applyAlignment="1">
      <alignment vertical="center"/>
    </xf>
    <xf numFmtId="164" fontId="14" fillId="0" borderId="79" xfId="0" applyNumberFormat="1" applyFont="1" applyBorder="1" applyAlignment="1">
      <alignment horizontal="center" vertical="center"/>
    </xf>
    <xf numFmtId="1" fontId="14" fillId="2" borderId="70" xfId="0" applyNumberFormat="1" applyFont="1" applyFill="1" applyBorder="1" applyAlignment="1">
      <alignment vertical="center"/>
    </xf>
    <xf numFmtId="0" fontId="26" fillId="0" borderId="39" xfId="0" applyFont="1" applyBorder="1" applyAlignment="1">
      <alignment wrapText="1"/>
    </xf>
    <xf numFmtId="0" fontId="15" fillId="0" borderId="40" xfId="0" applyFont="1" applyBorder="1" applyAlignment="1">
      <alignment horizontal="center" vertical="center" wrapText="1"/>
    </xf>
    <xf numFmtId="0" fontId="13" fillId="6" borderId="84" xfId="0" applyFont="1" applyFill="1" applyBorder="1" applyAlignment="1">
      <alignment horizontal="left" vertical="top" wrapText="1"/>
    </xf>
    <xf numFmtId="0" fontId="15" fillId="0" borderId="39" xfId="0" applyFont="1" applyBorder="1" applyAlignment="1">
      <alignment vertical="center" wrapText="1"/>
    </xf>
    <xf numFmtId="0" fontId="13" fillId="6" borderId="86" xfId="0" applyFont="1" applyFill="1" applyBorder="1" applyAlignment="1">
      <alignment horizontal="left" vertical="top" wrapText="1"/>
    </xf>
    <xf numFmtId="0" fontId="13" fillId="6" borderId="88" xfId="0" applyFont="1" applyFill="1" applyBorder="1" applyAlignment="1">
      <alignment horizontal="left" vertical="top" wrapText="1"/>
    </xf>
    <xf numFmtId="0" fontId="13" fillId="2" borderId="12" xfId="0" applyFont="1" applyFill="1" applyBorder="1"/>
    <xf numFmtId="0" fontId="15" fillId="2" borderId="1" xfId="0" applyFont="1" applyFill="1" applyBorder="1" applyAlignment="1">
      <alignment horizontal="center" wrapText="1"/>
    </xf>
    <xf numFmtId="0" fontId="15" fillId="2" borderId="51" xfId="0" applyFont="1" applyFill="1" applyBorder="1"/>
    <xf numFmtId="0" fontId="13" fillId="0" borderId="40" xfId="0" applyFont="1" applyBorder="1" applyAlignment="1">
      <alignment horizontal="center" vertical="center" wrapText="1"/>
    </xf>
    <xf numFmtId="0" fontId="15" fillId="0" borderId="39" xfId="0" applyFont="1" applyBorder="1" applyAlignment="1">
      <alignment vertical="top"/>
    </xf>
    <xf numFmtId="2" fontId="13" fillId="0" borderId="91" xfId="0" applyNumberFormat="1" applyFont="1" applyBorder="1" applyAlignment="1">
      <alignment vertical="center" wrapText="1"/>
    </xf>
    <xf numFmtId="164" fontId="13" fillId="0" borderId="91" xfId="0" applyNumberFormat="1" applyFont="1" applyBorder="1" applyAlignment="1">
      <alignment vertical="center" wrapText="1"/>
    </xf>
    <xf numFmtId="0" fontId="13" fillId="0" borderId="79" xfId="0" applyFont="1" applyBorder="1" applyAlignment="1">
      <alignment vertical="center" wrapText="1"/>
    </xf>
    <xf numFmtId="164" fontId="13" fillId="0" borderId="79" xfId="0" applyNumberFormat="1" applyFont="1" applyBorder="1" applyAlignment="1">
      <alignment vertical="center" wrapText="1"/>
    </xf>
    <xf numFmtId="164" fontId="13" fillId="2" borderId="66" xfId="0" applyNumberFormat="1" applyFont="1" applyFill="1" applyBorder="1" applyAlignment="1">
      <alignment vertical="center"/>
    </xf>
    <xf numFmtId="2" fontId="13" fillId="0" borderId="79" xfId="0" applyNumberFormat="1" applyFont="1" applyBorder="1" applyAlignment="1">
      <alignment horizontal="center" vertical="top" wrapText="1"/>
    </xf>
    <xf numFmtId="2" fontId="13" fillId="0" borderId="79" xfId="0" applyNumberFormat="1" applyFont="1" applyBorder="1" applyAlignment="1">
      <alignment horizontal="center" vertical="center" wrapText="1"/>
    </xf>
    <xf numFmtId="0" fontId="13" fillId="0" borderId="92" xfId="0" applyFont="1" applyBorder="1" applyAlignment="1">
      <alignment vertical="center" wrapText="1"/>
    </xf>
    <xf numFmtId="164" fontId="13" fillId="0" borderId="92" xfId="0" applyNumberFormat="1" applyFont="1" applyBorder="1" applyAlignment="1">
      <alignment vertical="center" wrapText="1"/>
    </xf>
    <xf numFmtId="2" fontId="13" fillId="2" borderId="70" xfId="0" applyNumberFormat="1" applyFont="1" applyFill="1" applyBorder="1" applyAlignment="1">
      <alignment vertical="center"/>
    </xf>
    <xf numFmtId="0" fontId="15" fillId="0" borderId="93" xfId="0" applyFont="1" applyBorder="1" applyAlignment="1">
      <alignment horizontal="left" vertical="top" wrapText="1"/>
    </xf>
    <xf numFmtId="0" fontId="15" fillId="0" borderId="91" xfId="0" applyFont="1" applyBorder="1" applyAlignment="1">
      <alignment horizontal="center" vertical="center"/>
    </xf>
    <xf numFmtId="0" fontId="15" fillId="0" borderId="39" xfId="0" applyFont="1" applyBorder="1" applyAlignment="1">
      <alignment vertical="top" wrapText="1"/>
    </xf>
    <xf numFmtId="0" fontId="15" fillId="0" borderId="40" xfId="0" applyFont="1" applyBorder="1" applyAlignment="1">
      <alignment horizontal="center" vertical="center"/>
    </xf>
    <xf numFmtId="164" fontId="13" fillId="2" borderId="70" xfId="0" applyNumberFormat="1" applyFont="1" applyFill="1" applyBorder="1" applyAlignment="1">
      <alignment horizontal="center" vertical="top"/>
    </xf>
    <xf numFmtId="0" fontId="15" fillId="0" borderId="39" xfId="0" applyFont="1" applyBorder="1" applyAlignment="1">
      <alignment horizontal="left"/>
    </xf>
    <xf numFmtId="1" fontId="15" fillId="0" borderId="40" xfId="0" applyNumberFormat="1" applyFont="1" applyBorder="1" applyAlignment="1">
      <alignment horizontal="center" vertical="center"/>
    </xf>
    <xf numFmtId="1" fontId="15" fillId="0" borderId="40" xfId="0" applyNumberFormat="1" applyFont="1" applyBorder="1" applyAlignment="1">
      <alignment horizontal="center"/>
    </xf>
    <xf numFmtId="0" fontId="15" fillId="0" borderId="39" xfId="0" applyFont="1" applyBorder="1" applyAlignment="1">
      <alignment horizontal="left" vertical="top"/>
    </xf>
    <xf numFmtId="0" fontId="15" fillId="0" borderId="40" xfId="0" applyFont="1" applyBorder="1" applyAlignment="1">
      <alignment horizontal="center" vertical="top"/>
    </xf>
    <xf numFmtId="0" fontId="6" fillId="13" borderId="46" xfId="0" applyFont="1" applyFill="1" applyBorder="1" applyAlignment="1">
      <alignment vertical="center"/>
    </xf>
    <xf numFmtId="164" fontId="6" fillId="13" borderId="48" xfId="0" applyNumberFormat="1" applyFont="1" applyFill="1" applyBorder="1" applyAlignment="1">
      <alignment horizontal="center" vertical="center"/>
    </xf>
    <xf numFmtId="0" fontId="10" fillId="2" borderId="1" xfId="0" applyFont="1" applyFill="1" applyBorder="1" applyAlignment="1">
      <alignment vertical="top" wrapText="1"/>
    </xf>
    <xf numFmtId="0" fontId="30" fillId="2" borderId="1" xfId="0" applyFont="1" applyFill="1" applyBorder="1" applyAlignment="1">
      <alignment vertical="center"/>
    </xf>
    <xf numFmtId="0" fontId="30" fillId="2" borderId="1" xfId="0" applyFont="1" applyFill="1" applyBorder="1"/>
    <xf numFmtId="0" fontId="6" fillId="2" borderId="46" xfId="0" applyFont="1" applyFill="1" applyBorder="1" applyAlignment="1">
      <alignment vertical="center"/>
    </xf>
    <xf numFmtId="166" fontId="6" fillId="2" borderId="48" xfId="0" applyNumberFormat="1" applyFont="1" applyFill="1" applyBorder="1" applyAlignment="1">
      <alignment horizontal="center" vertical="center"/>
    </xf>
    <xf numFmtId="0" fontId="24" fillId="2" borderId="1" xfId="0" applyFont="1" applyFill="1" applyBorder="1" applyAlignment="1">
      <alignment vertical="center"/>
    </xf>
    <xf numFmtId="0" fontId="15" fillId="2" borderId="1" xfId="0" applyFont="1" applyFill="1" applyBorder="1" applyAlignment="1">
      <alignment vertical="center"/>
    </xf>
    <xf numFmtId="0" fontId="5" fillId="2" borderId="1" xfId="0" applyFont="1" applyFill="1" applyBorder="1" applyAlignment="1">
      <alignment vertical="center"/>
    </xf>
    <xf numFmtId="0" fontId="5" fillId="0" borderId="0" xfId="0" applyFont="1" applyAlignment="1">
      <alignment vertical="center"/>
    </xf>
    <xf numFmtId="0" fontId="31" fillId="2" borderId="1" xfId="0" applyFont="1" applyFill="1" applyBorder="1"/>
    <xf numFmtId="0" fontId="31" fillId="2" borderId="1" xfId="0" applyFont="1" applyFill="1" applyBorder="1" applyAlignment="1">
      <alignment horizontal="center"/>
    </xf>
    <xf numFmtId="0" fontId="15" fillId="0" borderId="0" xfId="0" applyFont="1" applyAlignment="1">
      <alignment horizontal="center"/>
    </xf>
    <xf numFmtId="0" fontId="13" fillId="14" borderId="96" xfId="0" applyFont="1" applyFill="1" applyBorder="1" applyAlignment="1">
      <alignment vertical="center"/>
    </xf>
    <xf numFmtId="0" fontId="13" fillId="14" borderId="97" xfId="0" applyFont="1" applyFill="1" applyBorder="1" applyAlignment="1">
      <alignment horizontal="center" vertical="center" wrapText="1"/>
    </xf>
    <xf numFmtId="0" fontId="13" fillId="0" borderId="40" xfId="0" applyFont="1" applyBorder="1" applyAlignment="1">
      <alignment horizontal="center" vertical="center"/>
    </xf>
    <xf numFmtId="0" fontId="5" fillId="2" borderId="61" xfId="0" applyFont="1" applyFill="1" applyBorder="1" applyAlignment="1">
      <alignment horizontal="left"/>
    </xf>
    <xf numFmtId="0" fontId="32" fillId="2" borderId="1" xfId="0" applyFont="1" applyFill="1" applyBorder="1" applyAlignment="1">
      <alignment horizontal="center" vertical="center"/>
    </xf>
    <xf numFmtId="0" fontId="15" fillId="0" borderId="42" xfId="0" applyFont="1" applyBorder="1" applyAlignment="1">
      <alignment vertical="center" wrapText="1"/>
    </xf>
    <xf numFmtId="0" fontId="5" fillId="2" borderId="66" xfId="0" applyFont="1" applyFill="1" applyBorder="1" applyAlignment="1">
      <alignment horizontal="left"/>
    </xf>
    <xf numFmtId="0" fontId="5" fillId="2" borderId="100" xfId="0" applyFont="1" applyFill="1" applyBorder="1" applyAlignment="1">
      <alignment wrapText="1"/>
    </xf>
    <xf numFmtId="0" fontId="5" fillId="2" borderId="51" xfId="0" applyFont="1" applyFill="1" applyBorder="1" applyAlignment="1">
      <alignment horizontal="center"/>
    </xf>
    <xf numFmtId="0" fontId="15" fillId="0" borderId="101" xfId="0" applyFont="1" applyBorder="1" applyAlignment="1">
      <alignment vertical="center" wrapText="1"/>
    </xf>
    <xf numFmtId="0" fontId="15" fillId="0" borderId="39" xfId="0" applyFont="1" applyBorder="1" applyAlignment="1">
      <alignment horizontal="left" vertical="center" wrapText="1"/>
    </xf>
    <xf numFmtId="0" fontId="34" fillId="3" borderId="102" xfId="0" applyFont="1" applyFill="1" applyBorder="1" applyAlignment="1">
      <alignment horizontal="center" vertical="center"/>
    </xf>
    <xf numFmtId="0" fontId="5" fillId="2" borderId="1" xfId="0" applyFont="1" applyFill="1" applyBorder="1" applyAlignment="1">
      <alignment horizontal="left" vertical="center"/>
    </xf>
    <xf numFmtId="0" fontId="8" fillId="3" borderId="103" xfId="0" applyFont="1" applyFill="1" applyBorder="1" applyAlignment="1">
      <alignment horizontal="center" vertical="center"/>
    </xf>
    <xf numFmtId="0" fontId="15" fillId="0" borderId="104" xfId="0" applyFont="1" applyBorder="1" applyAlignment="1">
      <alignment vertical="center" wrapText="1"/>
    </xf>
    <xf numFmtId="0" fontId="5" fillId="2" borderId="66" xfId="0" applyFont="1" applyFill="1" applyBorder="1" applyAlignment="1">
      <alignment horizontal="left" vertical="center"/>
    </xf>
    <xf numFmtId="0" fontId="15" fillId="0" borderId="93" xfId="0" applyFont="1" applyBorder="1" applyAlignment="1">
      <alignment horizontal="left" vertical="center" wrapText="1"/>
    </xf>
    <xf numFmtId="0" fontId="15" fillId="0" borderId="42" xfId="0" applyFont="1" applyBorder="1" applyAlignment="1">
      <alignment vertical="top" wrapText="1"/>
    </xf>
    <xf numFmtId="0" fontId="5" fillId="2" borderId="70" xfId="0" applyFont="1" applyFill="1" applyBorder="1" applyAlignment="1">
      <alignment horizontal="left" vertical="center"/>
    </xf>
    <xf numFmtId="0" fontId="6" fillId="0" borderId="41" xfId="0" applyFont="1" applyBorder="1" applyAlignment="1">
      <alignment horizontal="center" vertical="center"/>
    </xf>
    <xf numFmtId="0" fontId="5" fillId="0" borderId="0" xfId="0" applyFont="1" applyAlignment="1">
      <alignment horizontal="left" vertical="center" wrapText="1"/>
    </xf>
    <xf numFmtId="0" fontId="6" fillId="0" borderId="0" xfId="0" applyFont="1" applyAlignment="1">
      <alignment horizontal="center" vertical="center"/>
    </xf>
    <xf numFmtId="0" fontId="6" fillId="13" borderId="106" xfId="0" applyFont="1" applyFill="1" applyBorder="1" applyAlignment="1">
      <alignment horizontal="right" vertical="center" wrapText="1"/>
    </xf>
    <xf numFmtId="164" fontId="6" fillId="13" borderId="107" xfId="0" applyNumberFormat="1" applyFont="1" applyFill="1" applyBorder="1" applyAlignment="1">
      <alignment horizontal="center" vertical="center"/>
    </xf>
    <xf numFmtId="0" fontId="5" fillId="0" borderId="0" xfId="0" applyFont="1" applyAlignment="1">
      <alignment wrapText="1"/>
    </xf>
    <xf numFmtId="0" fontId="8" fillId="15" borderId="108" xfId="0" applyFont="1" applyFill="1" applyBorder="1" applyAlignment="1">
      <alignment horizontal="right" vertical="center" wrapText="1"/>
    </xf>
    <xf numFmtId="164" fontId="8" fillId="15" borderId="109" xfId="0" applyNumberFormat="1" applyFont="1" applyFill="1" applyBorder="1" applyAlignment="1">
      <alignment horizontal="center" vertical="center"/>
    </xf>
    <xf numFmtId="0" fontId="35" fillId="2" borderId="1" xfId="0" applyFont="1" applyFill="1" applyBorder="1" applyAlignment="1">
      <alignment horizontal="center"/>
    </xf>
    <xf numFmtId="0" fontId="35" fillId="2" borderId="110" xfId="0" applyFont="1" applyFill="1" applyBorder="1" applyAlignment="1">
      <alignment horizontal="center" vertical="center"/>
    </xf>
    <xf numFmtId="0" fontId="35" fillId="2" borderId="1" xfId="0" applyFont="1" applyFill="1" applyBorder="1" applyAlignment="1">
      <alignment horizontal="center" vertical="center"/>
    </xf>
    <xf numFmtId="164" fontId="35" fillId="2" borderId="1" xfId="0" applyNumberFormat="1" applyFont="1" applyFill="1" applyBorder="1" applyAlignment="1">
      <alignment horizontal="center" vertical="center"/>
    </xf>
    <xf numFmtId="0" fontId="5" fillId="2" borderId="39" xfId="0" applyFont="1" applyFill="1" applyBorder="1" applyAlignment="1">
      <alignment horizontal="center" vertical="center"/>
    </xf>
    <xf numFmtId="0" fontId="5" fillId="0" borderId="113" xfId="0" applyFont="1" applyBorder="1" applyAlignment="1">
      <alignment horizontal="left" vertical="top" wrapText="1"/>
    </xf>
    <xf numFmtId="2" fontId="35" fillId="2" borderId="1" xfId="0" applyNumberFormat="1" applyFont="1" applyFill="1" applyBorder="1" applyAlignment="1">
      <alignment horizontal="center" vertical="center"/>
    </xf>
    <xf numFmtId="0" fontId="5" fillId="2" borderId="115" xfId="0" applyFont="1" applyFill="1" applyBorder="1" applyAlignment="1">
      <alignment horizontal="center" vertical="center"/>
    </xf>
    <xf numFmtId="0" fontId="35" fillId="2" borderId="1" xfId="0" applyFont="1" applyFill="1" applyBorder="1" applyAlignment="1">
      <alignment vertical="center" wrapText="1"/>
    </xf>
    <xf numFmtId="0" fontId="5" fillId="0" borderId="92" xfId="0" applyFont="1" applyBorder="1" applyAlignment="1">
      <alignment vertical="center" wrapText="1"/>
    </xf>
    <xf numFmtId="0" fontId="36" fillId="2" borderId="1" xfId="0" applyFont="1" applyFill="1" applyBorder="1" applyAlignment="1">
      <alignment vertical="top" wrapText="1"/>
    </xf>
    <xf numFmtId="0" fontId="5" fillId="2" borderId="117" xfId="0" applyFont="1" applyFill="1" applyBorder="1"/>
    <xf numFmtId="0" fontId="6" fillId="2" borderId="1" xfId="0" applyFont="1" applyFill="1" applyBorder="1" applyAlignment="1">
      <alignment vertical="center"/>
    </xf>
    <xf numFmtId="164" fontId="8" fillId="15" borderId="121" xfId="0" applyNumberFormat="1" applyFont="1" applyFill="1" applyBorder="1" applyAlignment="1">
      <alignment horizontal="center" vertical="center"/>
    </xf>
    <xf numFmtId="0" fontId="13" fillId="2" borderId="122" xfId="0" applyFont="1" applyFill="1" applyBorder="1" applyAlignment="1">
      <alignment horizontal="left"/>
    </xf>
    <xf numFmtId="0" fontId="6" fillId="0" borderId="73" xfId="0" applyFont="1" applyBorder="1" applyAlignment="1">
      <alignment horizontal="center"/>
    </xf>
    <xf numFmtId="0" fontId="6" fillId="0" borderId="92" xfId="0" applyFont="1" applyBorder="1" applyAlignment="1">
      <alignment horizontal="center"/>
    </xf>
    <xf numFmtId="0" fontId="6" fillId="0" borderId="81" xfId="0" applyFont="1" applyBorder="1" applyAlignment="1">
      <alignment horizontal="center"/>
    </xf>
    <xf numFmtId="0" fontId="6" fillId="0" borderId="69" xfId="0" applyFont="1" applyBorder="1" applyAlignment="1">
      <alignment horizontal="center"/>
    </xf>
    <xf numFmtId="0" fontId="6" fillId="2" borderId="84" xfId="0" applyFont="1" applyFill="1" applyBorder="1" applyAlignment="1">
      <alignment horizontal="left"/>
    </xf>
    <xf numFmtId="0" fontId="5" fillId="0" borderId="93" xfId="0" applyFont="1" applyBorder="1"/>
    <xf numFmtId="0" fontId="22" fillId="0" borderId="60" xfId="0" applyFont="1" applyBorder="1" applyAlignment="1">
      <alignment horizontal="right" vertical="center" wrapText="1"/>
    </xf>
    <xf numFmtId="0" fontId="22" fillId="0" borderId="40" xfId="0" applyFont="1" applyBorder="1" applyAlignment="1">
      <alignment horizontal="center" vertical="center" wrapText="1"/>
    </xf>
    <xf numFmtId="0" fontId="22" fillId="0" borderId="40" xfId="0" applyFont="1" applyBorder="1" applyAlignment="1">
      <alignment horizontal="right" vertical="center" wrapText="1"/>
    </xf>
    <xf numFmtId="0" fontId="22" fillId="0" borderId="41" xfId="0" applyFont="1" applyBorder="1" applyAlignment="1">
      <alignment horizontal="center" vertical="center" wrapText="1"/>
    </xf>
    <xf numFmtId="0" fontId="22" fillId="0" borderId="69" xfId="0" applyFont="1" applyBorder="1" applyAlignment="1">
      <alignment horizontal="center" vertical="center" wrapText="1"/>
    </xf>
    <xf numFmtId="0" fontId="5" fillId="2" borderId="86" xfId="0" applyFont="1" applyFill="1" applyBorder="1" applyAlignment="1">
      <alignment horizontal="left"/>
    </xf>
    <xf numFmtId="0" fontId="13" fillId="0" borderId="39" xfId="0" applyFont="1" applyBorder="1" applyAlignment="1">
      <alignment horizontal="center" vertical="center"/>
    </xf>
    <xf numFmtId="0" fontId="6" fillId="2" borderId="39" xfId="0" applyFont="1" applyFill="1" applyBorder="1" applyAlignment="1">
      <alignment horizontal="center" vertical="center"/>
    </xf>
    <xf numFmtId="0" fontId="15" fillId="17" borderId="111" xfId="0" applyFont="1" applyFill="1" applyBorder="1" applyAlignment="1">
      <alignment vertical="top" wrapText="1"/>
    </xf>
    <xf numFmtId="0" fontId="14" fillId="3" borderId="124" xfId="0" applyFont="1" applyFill="1" applyBorder="1" applyAlignment="1">
      <alignment horizontal="center" vertical="center" wrapText="1"/>
    </xf>
    <xf numFmtId="0" fontId="15" fillId="0" borderId="40" xfId="0" applyFont="1" applyBorder="1" applyAlignment="1">
      <alignment horizontal="left" vertical="top" wrapText="1"/>
    </xf>
    <xf numFmtId="0" fontId="14" fillId="3" borderId="125" xfId="0" applyFont="1" applyFill="1" applyBorder="1" applyAlignment="1">
      <alignment horizontal="center" vertical="center" wrapText="1"/>
    </xf>
    <xf numFmtId="0" fontId="14" fillId="0" borderId="69" xfId="0" applyFont="1" applyBorder="1" applyAlignment="1">
      <alignment horizontal="center" vertical="center" wrapText="1"/>
    </xf>
    <xf numFmtId="0" fontId="26" fillId="0" borderId="64" xfId="0" applyFont="1" applyBorder="1" applyAlignment="1">
      <alignment horizontal="left" vertical="top" wrapText="1" readingOrder="1"/>
    </xf>
    <xf numFmtId="0" fontId="14" fillId="3" borderId="126" xfId="0" applyFont="1" applyFill="1" applyBorder="1" applyAlignment="1">
      <alignment horizontal="center" vertical="center" wrapText="1"/>
    </xf>
    <xf numFmtId="0" fontId="14" fillId="3" borderId="127" xfId="0" applyFont="1" applyFill="1" applyBorder="1" applyAlignment="1">
      <alignment horizontal="center" vertical="center" wrapText="1"/>
    </xf>
    <xf numFmtId="0" fontId="15" fillId="0" borderId="40" xfId="0" applyFont="1" applyBorder="1" applyAlignment="1">
      <alignment vertical="top" wrapText="1"/>
    </xf>
    <xf numFmtId="0" fontId="15" fillId="0" borderId="60" xfId="0" applyFont="1" applyBorder="1" applyAlignment="1">
      <alignment vertical="top" wrapText="1"/>
    </xf>
    <xf numFmtId="0" fontId="14" fillId="3" borderId="128" xfId="0" applyFont="1" applyFill="1" applyBorder="1" applyAlignment="1">
      <alignment horizontal="center" vertical="center" wrapText="1"/>
    </xf>
    <xf numFmtId="0" fontId="14" fillId="3" borderId="129" xfId="0" applyFont="1" applyFill="1" applyBorder="1" applyAlignment="1">
      <alignment horizontal="center" vertical="center" wrapText="1"/>
    </xf>
    <xf numFmtId="0" fontId="14" fillId="3" borderId="130" xfId="0" applyFont="1" applyFill="1" applyBorder="1" applyAlignment="1">
      <alignment horizontal="center" vertical="center" wrapText="1"/>
    </xf>
    <xf numFmtId="0" fontId="15" fillId="0" borderId="91" xfId="0" applyFont="1" applyBorder="1" applyAlignment="1">
      <alignment horizontal="left" vertical="top" wrapText="1"/>
    </xf>
    <xf numFmtId="0" fontId="5" fillId="2" borderId="42" xfId="0" applyFont="1" applyFill="1" applyBorder="1"/>
    <xf numFmtId="0" fontId="13" fillId="2" borderId="131" xfId="0" applyFont="1" applyFill="1" applyBorder="1" applyAlignment="1">
      <alignment horizontal="center" vertical="center" wrapText="1"/>
    </xf>
    <xf numFmtId="0" fontId="13" fillId="2" borderId="43" xfId="0" applyFont="1" applyFill="1" applyBorder="1" applyAlignment="1">
      <alignment horizontal="center" vertical="center" wrapText="1"/>
    </xf>
    <xf numFmtId="0" fontId="13" fillId="2" borderId="44" xfId="0" applyFont="1" applyFill="1" applyBorder="1" applyAlignment="1">
      <alignment horizontal="center" vertical="center" wrapText="1"/>
    </xf>
    <xf numFmtId="0" fontId="13" fillId="0" borderId="69" xfId="0" applyFont="1" applyBorder="1" applyAlignment="1">
      <alignment horizontal="center" vertical="center" wrapText="1"/>
    </xf>
    <xf numFmtId="0" fontId="5" fillId="2" borderId="88" xfId="0" applyFont="1" applyFill="1" applyBorder="1" applyAlignment="1">
      <alignment horizontal="left"/>
    </xf>
    <xf numFmtId="164" fontId="13" fillId="2" borderId="1" xfId="0" applyNumberFormat="1" applyFont="1" applyFill="1" applyBorder="1" applyAlignment="1">
      <alignment horizontal="center"/>
    </xf>
    <xf numFmtId="164" fontId="13" fillId="0" borderId="0" xfId="0" applyNumberFormat="1" applyFont="1" applyAlignment="1">
      <alignment horizontal="center"/>
    </xf>
    <xf numFmtId="0" fontId="5" fillId="2" borderId="1" xfId="0" applyFont="1" applyFill="1" applyBorder="1" applyAlignment="1">
      <alignment horizontal="left"/>
    </xf>
    <xf numFmtId="164" fontId="22" fillId="13" borderId="46" xfId="0" applyNumberFormat="1" applyFont="1" applyFill="1" applyBorder="1" applyAlignment="1">
      <alignment horizontal="center" vertical="center"/>
    </xf>
    <xf numFmtId="164" fontId="22" fillId="13" borderId="48" xfId="0" applyNumberFormat="1" applyFont="1" applyFill="1" applyBorder="1" applyAlignment="1">
      <alignment vertical="center"/>
    </xf>
    <xf numFmtId="0" fontId="15" fillId="0" borderId="0" xfId="0" applyFont="1" applyAlignment="1">
      <alignment horizontal="center" vertical="center"/>
    </xf>
    <xf numFmtId="0" fontId="13" fillId="0" borderId="0" xfId="0" applyFont="1" applyAlignment="1">
      <alignment horizontal="center" vertical="center"/>
    </xf>
    <xf numFmtId="164" fontId="19" fillId="15" borderId="134" xfId="0" applyNumberFormat="1" applyFont="1" applyFill="1" applyBorder="1" applyAlignment="1">
      <alignment horizontal="center" vertical="center"/>
    </xf>
    <xf numFmtId="164" fontId="19" fillId="15" borderId="48" xfId="0" applyNumberFormat="1" applyFont="1" applyFill="1" applyBorder="1" applyAlignment="1">
      <alignment vertical="center"/>
    </xf>
    <xf numFmtId="0" fontId="5" fillId="2" borderId="26" xfId="0" applyFont="1" applyFill="1" applyBorder="1"/>
    <xf numFmtId="0" fontId="5" fillId="2" borderId="31" xfId="0" applyFont="1" applyFill="1" applyBorder="1"/>
    <xf numFmtId="0" fontId="33" fillId="2" borderId="30" xfId="0" applyFont="1" applyFill="1" applyBorder="1" applyAlignment="1">
      <alignment horizontal="center"/>
    </xf>
    <xf numFmtId="0" fontId="6" fillId="2" borderId="1" xfId="0" applyFont="1" applyFill="1" applyBorder="1" applyAlignment="1">
      <alignment horizontal="center"/>
    </xf>
    <xf numFmtId="0" fontId="22" fillId="2" borderId="1" xfId="0" applyFont="1" applyFill="1" applyBorder="1" applyAlignment="1">
      <alignment horizontal="center" vertical="center" wrapText="1"/>
    </xf>
    <xf numFmtId="0" fontId="5" fillId="0" borderId="104" xfId="0" applyFont="1" applyBorder="1"/>
    <xf numFmtId="0" fontId="13" fillId="2" borderId="1"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5" fillId="0" borderId="60" xfId="0" applyFont="1" applyBorder="1" applyAlignment="1">
      <alignment horizontal="left" vertical="top" wrapText="1"/>
    </xf>
    <xf numFmtId="0" fontId="15" fillId="0" borderId="91" xfId="0" applyFont="1" applyBorder="1" applyAlignment="1">
      <alignment vertical="top" wrapText="1"/>
    </xf>
    <xf numFmtId="0" fontId="13" fillId="2" borderId="1" xfId="0" applyFont="1" applyFill="1" applyBorder="1" applyAlignment="1">
      <alignment horizontal="center" vertical="center" wrapText="1"/>
    </xf>
    <xf numFmtId="164" fontId="22" fillId="2" borderId="1" xfId="0" applyNumberFormat="1" applyFont="1" applyFill="1" applyBorder="1" applyAlignment="1">
      <alignment horizontal="center" vertical="center"/>
    </xf>
    <xf numFmtId="0" fontId="13" fillId="2" borderId="1" xfId="0" applyFont="1" applyFill="1" applyBorder="1" applyAlignment="1">
      <alignment horizontal="center" vertical="center"/>
    </xf>
    <xf numFmtId="0" fontId="15" fillId="2" borderId="1" xfId="0" applyFont="1" applyFill="1" applyBorder="1" applyAlignment="1">
      <alignment horizontal="center" vertical="center"/>
    </xf>
    <xf numFmtId="164" fontId="19"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5" fillId="2" borderId="144" xfId="0" applyFont="1" applyFill="1" applyBorder="1" applyAlignment="1">
      <alignment horizontal="left" vertical="center"/>
    </xf>
    <xf numFmtId="0" fontId="5" fillId="2" borderId="145" xfId="0" applyFont="1" applyFill="1" applyBorder="1" applyAlignment="1">
      <alignment vertical="center"/>
    </xf>
    <xf numFmtId="0" fontId="5" fillId="2" borderId="146" xfId="0" applyFont="1" applyFill="1" applyBorder="1" applyAlignment="1">
      <alignment vertical="center"/>
    </xf>
    <xf numFmtId="0" fontId="5" fillId="0" borderId="65" xfId="0" applyFont="1" applyBorder="1" applyAlignment="1">
      <alignment horizontal="right" vertical="center" wrapText="1"/>
    </xf>
    <xf numFmtId="3" fontId="8" fillId="3" borderId="147" xfId="0" applyNumberFormat="1" applyFont="1" applyFill="1" applyBorder="1" applyAlignment="1">
      <alignment horizontal="center" vertical="center"/>
    </xf>
    <xf numFmtId="0" fontId="13" fillId="0" borderId="149" xfId="0" applyFont="1" applyBorder="1" applyAlignment="1">
      <alignment horizontal="center" vertical="center"/>
    </xf>
    <xf numFmtId="0" fontId="5" fillId="2" borderId="100" xfId="0" applyFont="1" applyFill="1" applyBorder="1" applyAlignment="1">
      <alignment vertical="center"/>
    </xf>
    <xf numFmtId="0" fontId="5" fillId="2" borderId="51" xfId="0" applyFont="1" applyFill="1" applyBorder="1" applyAlignment="1">
      <alignment vertical="center"/>
    </xf>
    <xf numFmtId="0" fontId="5" fillId="0" borderId="69" xfId="0" applyFont="1" applyBorder="1" applyAlignment="1">
      <alignment horizontal="right" vertical="center" wrapText="1"/>
    </xf>
    <xf numFmtId="3" fontId="8" fillId="3" borderId="114" xfId="0" applyNumberFormat="1" applyFont="1" applyFill="1" applyBorder="1" applyAlignment="1">
      <alignment horizontal="center" vertical="center"/>
    </xf>
    <xf numFmtId="0" fontId="5" fillId="0" borderId="113" xfId="0" applyFont="1" applyBorder="1" applyAlignment="1">
      <alignment horizontal="center" vertical="center"/>
    </xf>
    <xf numFmtId="0" fontId="5" fillId="0" borderId="74" xfId="0" applyFont="1" applyBorder="1" applyAlignment="1">
      <alignment horizontal="right" vertical="center" wrapText="1"/>
    </xf>
    <xf numFmtId="3" fontId="8" fillId="3" borderId="150" xfId="0" applyNumberFormat="1" applyFont="1" applyFill="1" applyBorder="1" applyAlignment="1">
      <alignment horizontal="center" vertical="center"/>
    </xf>
    <xf numFmtId="0" fontId="6" fillId="0" borderId="107" xfId="0" applyFont="1" applyBorder="1" applyAlignment="1">
      <alignment horizontal="right" vertical="center"/>
    </xf>
    <xf numFmtId="3" fontId="6" fillId="0" borderId="107" xfId="0" applyNumberFormat="1" applyFont="1" applyBorder="1" applyAlignment="1">
      <alignment horizontal="center" vertical="center"/>
    </xf>
    <xf numFmtId="0" fontId="15" fillId="0" borderId="106" xfId="0" applyFont="1" applyBorder="1" applyAlignment="1">
      <alignment horizontal="center" vertical="center"/>
    </xf>
    <xf numFmtId="0" fontId="6" fillId="19" borderId="107" xfId="0" applyFont="1" applyFill="1" applyBorder="1" applyAlignment="1">
      <alignment horizontal="center" vertical="center"/>
    </xf>
    <xf numFmtId="0" fontId="6" fillId="13" borderId="107" xfId="0" applyFont="1" applyFill="1" applyBorder="1" applyAlignment="1">
      <alignment horizontal="right" vertical="center"/>
    </xf>
    <xf numFmtId="2" fontId="6" fillId="13" borderId="107" xfId="0" applyNumberFormat="1" applyFont="1" applyFill="1" applyBorder="1" applyAlignment="1">
      <alignment horizontal="center" vertical="center"/>
    </xf>
    <xf numFmtId="2" fontId="6" fillId="13" borderId="46" xfId="0" applyNumberFormat="1" applyFont="1" applyFill="1" applyBorder="1" applyAlignment="1">
      <alignment vertical="center"/>
    </xf>
    <xf numFmtId="164" fontId="5" fillId="2" borderId="1" xfId="0" applyNumberFormat="1" applyFont="1" applyFill="1" applyBorder="1" applyAlignment="1">
      <alignment horizontal="center"/>
    </xf>
    <xf numFmtId="0" fontId="8" fillId="15" borderId="108" xfId="0" applyFont="1" applyFill="1" applyBorder="1" applyAlignment="1">
      <alignment horizontal="right" vertical="center"/>
    </xf>
    <xf numFmtId="2" fontId="8" fillId="15" borderId="155" xfId="0" applyNumberFormat="1" applyFont="1" applyFill="1" applyBorder="1" applyAlignment="1">
      <alignment horizontal="center" vertical="center"/>
    </xf>
    <xf numFmtId="164" fontId="8" fillId="15" borderId="155" xfId="0" applyNumberFormat="1" applyFont="1" applyFill="1" applyBorder="1" applyAlignment="1">
      <alignment horizontal="center" vertical="center"/>
    </xf>
    <xf numFmtId="2" fontId="8" fillId="15" borderId="134" xfId="0" applyNumberFormat="1" applyFont="1" applyFill="1" applyBorder="1" applyAlignment="1">
      <alignment vertical="center"/>
    </xf>
    <xf numFmtId="164" fontId="8" fillId="15" borderId="48" xfId="0" applyNumberFormat="1" applyFont="1" applyFill="1" applyBorder="1" applyAlignment="1">
      <alignment horizontal="center" vertical="center"/>
    </xf>
    <xf numFmtId="0" fontId="5" fillId="2" borderId="157" xfId="0" applyFont="1" applyFill="1" applyBorder="1" applyAlignment="1">
      <alignment vertical="center"/>
    </xf>
    <xf numFmtId="0" fontId="5" fillId="2" borderId="158" xfId="0" applyFont="1" applyFill="1" applyBorder="1" applyAlignment="1">
      <alignment vertical="center"/>
    </xf>
    <xf numFmtId="0" fontId="5" fillId="2" borderId="55" xfId="0" applyFont="1" applyFill="1" applyBorder="1" applyAlignment="1">
      <alignment vertical="center"/>
    </xf>
    <xf numFmtId="0" fontId="5" fillId="0" borderId="0" xfId="0" applyFont="1" applyAlignment="1">
      <alignment horizontal="center" vertical="center"/>
    </xf>
    <xf numFmtId="0" fontId="6" fillId="2" borderId="40" xfId="0" applyFont="1" applyFill="1" applyBorder="1" applyAlignment="1">
      <alignment vertical="center" wrapText="1"/>
    </xf>
    <xf numFmtId="0" fontId="6" fillId="0" borderId="8" xfId="0" applyFont="1" applyBorder="1" applyAlignment="1">
      <alignment horizontal="center" vertical="center"/>
    </xf>
    <xf numFmtId="0" fontId="6" fillId="2" borderId="144" xfId="0" applyFont="1" applyFill="1" applyBorder="1" applyAlignment="1">
      <alignment horizontal="left" vertical="center"/>
    </xf>
    <xf numFmtId="0" fontId="6" fillId="2" borderId="145" xfId="0" applyFont="1" applyFill="1" applyBorder="1" applyAlignment="1">
      <alignment horizontal="left" vertical="center"/>
    </xf>
    <xf numFmtId="0" fontId="6" fillId="2" borderId="146" xfId="0" applyFont="1" applyFill="1" applyBorder="1" applyAlignment="1">
      <alignment horizontal="left" vertical="center"/>
    </xf>
    <xf numFmtId="0" fontId="6" fillId="0" borderId="60" xfId="0" applyFont="1" applyBorder="1" applyAlignment="1">
      <alignment horizontal="right" vertical="center"/>
    </xf>
    <xf numFmtId="0" fontId="6" fillId="0" borderId="40" xfId="0" applyFont="1" applyBorder="1" applyAlignment="1">
      <alignment horizontal="right" vertical="center"/>
    </xf>
    <xf numFmtId="0" fontId="6" fillId="2" borderId="100" xfId="0" applyFont="1" applyFill="1" applyBorder="1" applyAlignment="1">
      <alignment horizontal="left" vertical="center"/>
    </xf>
    <xf numFmtId="0" fontId="6" fillId="2" borderId="1" xfId="0" applyFont="1" applyFill="1" applyBorder="1" applyAlignment="1">
      <alignment horizontal="left" vertical="center"/>
    </xf>
    <xf numFmtId="0" fontId="6" fillId="2" borderId="51" xfId="0" applyFont="1" applyFill="1" applyBorder="1" applyAlignment="1">
      <alignment horizontal="left" vertical="center"/>
    </xf>
    <xf numFmtId="0" fontId="5" fillId="0" borderId="40" xfId="0" applyFont="1" applyBorder="1"/>
    <xf numFmtId="0" fontId="6" fillId="0" borderId="40" xfId="0" applyFont="1" applyBorder="1" applyAlignment="1">
      <alignment vertical="top" wrapText="1"/>
    </xf>
    <xf numFmtId="0" fontId="6" fillId="0" borderId="60" xfId="0" applyFont="1" applyBorder="1" applyAlignment="1">
      <alignment vertical="top" wrapText="1"/>
    </xf>
    <xf numFmtId="0" fontId="6" fillId="0" borderId="41" xfId="0" applyFont="1" applyBorder="1" applyAlignment="1">
      <alignment horizontal="center" vertical="top" wrapText="1"/>
    </xf>
    <xf numFmtId="0" fontId="6" fillId="2" borderId="40" xfId="0" applyFont="1" applyFill="1" applyBorder="1"/>
    <xf numFmtId="0" fontId="6" fillId="16" borderId="111" xfId="0" applyFont="1" applyFill="1" applyBorder="1" applyAlignment="1">
      <alignment vertical="center"/>
    </xf>
    <xf numFmtId="0" fontId="5" fillId="2" borderId="40" xfId="0" applyFont="1" applyFill="1" applyBorder="1" applyAlignment="1">
      <alignment horizontal="center" vertical="center"/>
    </xf>
    <xf numFmtId="0" fontId="15" fillId="0" borderId="8" xfId="0" applyFont="1" applyBorder="1" applyAlignment="1">
      <alignment horizontal="left" vertical="top" wrapText="1"/>
    </xf>
    <xf numFmtId="0" fontId="8" fillId="3" borderId="40" xfId="0" applyFont="1" applyFill="1" applyBorder="1" applyAlignment="1">
      <alignment horizontal="center" vertical="center"/>
    </xf>
    <xf numFmtId="0" fontId="26" fillId="0" borderId="40" xfId="0" applyFont="1" applyBorder="1" applyAlignment="1">
      <alignment vertical="top" wrapText="1"/>
    </xf>
    <xf numFmtId="0" fontId="14" fillId="3" borderId="159" xfId="0" applyFont="1" applyFill="1" applyBorder="1" applyAlignment="1">
      <alignment horizontal="center" vertical="center" wrapText="1"/>
    </xf>
    <xf numFmtId="0" fontId="14" fillId="3" borderId="126" xfId="0" applyFont="1" applyFill="1" applyBorder="1" applyAlignment="1">
      <alignment horizontal="center" vertical="center"/>
    </xf>
    <xf numFmtId="0" fontId="13" fillId="0" borderId="78" xfId="0" applyFont="1" applyBorder="1" applyAlignment="1">
      <alignment horizontal="center" vertical="center" wrapText="1"/>
    </xf>
    <xf numFmtId="0" fontId="15" fillId="0" borderId="40" xfId="0" applyFont="1" applyBorder="1" applyAlignment="1">
      <alignment vertical="center" wrapText="1"/>
    </xf>
    <xf numFmtId="0" fontId="14" fillId="3" borderId="128" xfId="0" applyFont="1" applyFill="1" applyBorder="1" applyAlignment="1">
      <alignment horizontal="center" vertical="center"/>
    </xf>
    <xf numFmtId="0" fontId="5" fillId="2" borderId="40" xfId="0" applyFont="1" applyFill="1" applyBorder="1"/>
    <xf numFmtId="0" fontId="13" fillId="0" borderId="160" xfId="0" applyFont="1" applyBorder="1" applyAlignment="1">
      <alignment horizontal="center" vertical="center"/>
    </xf>
    <xf numFmtId="0" fontId="6" fillId="0" borderId="43" xfId="0" applyFont="1" applyBorder="1" applyAlignment="1">
      <alignment horizontal="center" vertical="center"/>
    </xf>
    <xf numFmtId="0" fontId="13" fillId="0" borderId="160" xfId="0" applyFont="1" applyBorder="1" applyAlignment="1">
      <alignment horizontal="center" vertical="center" wrapText="1"/>
    </xf>
    <xf numFmtId="0" fontId="6" fillId="2" borderId="157" xfId="0" applyFont="1" applyFill="1" applyBorder="1" applyAlignment="1">
      <alignment horizontal="left" vertical="center"/>
    </xf>
    <xf numFmtId="0" fontId="6" fillId="2" borderId="158" xfId="0" applyFont="1" applyFill="1" applyBorder="1" applyAlignment="1">
      <alignment horizontal="left" vertical="center"/>
    </xf>
    <xf numFmtId="0" fontId="6" fillId="2" borderId="55" xfId="0" applyFont="1" applyFill="1" applyBorder="1" applyAlignment="1">
      <alignment horizontal="left" vertical="center"/>
    </xf>
    <xf numFmtId="0" fontId="13" fillId="2" borderId="1" xfId="0" applyFont="1" applyFill="1" applyBorder="1" applyAlignment="1">
      <alignment horizontal="right"/>
    </xf>
    <xf numFmtId="0" fontId="5" fillId="0" borderId="161" xfId="0" applyFont="1" applyBorder="1" applyAlignment="1">
      <alignment horizontal="center" vertical="top" wrapText="1"/>
    </xf>
    <xf numFmtId="0" fontId="15" fillId="0" borderId="162" xfId="0" applyFont="1" applyBorder="1" applyAlignment="1">
      <alignment horizontal="left" vertical="top" wrapText="1"/>
    </xf>
    <xf numFmtId="0" fontId="5" fillId="0" borderId="167" xfId="0" applyFont="1" applyBorder="1" applyAlignment="1">
      <alignment horizontal="center" vertical="top" wrapText="1"/>
    </xf>
    <xf numFmtId="0" fontId="38" fillId="2" borderId="100" xfId="0" applyFont="1" applyFill="1" applyBorder="1" applyAlignment="1">
      <alignment horizontal="left" vertical="top"/>
    </xf>
    <xf numFmtId="0" fontId="39" fillId="2" borderId="1" xfId="0" applyFont="1" applyFill="1" applyBorder="1" applyAlignment="1">
      <alignment horizontal="left" vertical="top"/>
    </xf>
    <xf numFmtId="0" fontId="40" fillId="2" borderId="51" xfId="0" applyFont="1" applyFill="1" applyBorder="1" applyAlignment="1">
      <alignment horizontal="left" vertical="top"/>
    </xf>
    <xf numFmtId="0" fontId="5" fillId="0" borderId="171" xfId="0" applyFont="1" applyBorder="1" applyAlignment="1">
      <alignment horizontal="center" vertical="top" wrapText="1"/>
    </xf>
    <xf numFmtId="0" fontId="15" fillId="0" borderId="116" xfId="0" applyFont="1" applyBorder="1" applyAlignment="1">
      <alignment horizontal="left" vertical="top" wrapText="1"/>
    </xf>
    <xf numFmtId="0" fontId="5" fillId="0" borderId="0" xfId="0" applyFont="1" applyAlignment="1">
      <alignment horizontal="center" vertical="top" wrapText="1"/>
    </xf>
    <xf numFmtId="0" fontId="5" fillId="0" borderId="0" xfId="0" applyFont="1" applyAlignment="1">
      <alignment vertical="top" wrapText="1"/>
    </xf>
    <xf numFmtId="0" fontId="15" fillId="2" borderId="1" xfId="0" applyFont="1" applyFill="1" applyBorder="1" applyAlignment="1">
      <alignment horizontal="center" vertical="top" wrapText="1"/>
    </xf>
    <xf numFmtId="0" fontId="15" fillId="2" borderId="1" xfId="0" applyFont="1" applyFill="1" applyBorder="1" applyAlignment="1">
      <alignment vertical="top" wrapText="1"/>
    </xf>
    <xf numFmtId="0" fontId="15" fillId="0" borderId="101" xfId="0" applyFont="1" applyBorder="1" applyAlignment="1">
      <alignment horizontal="center" vertical="top" wrapText="1"/>
    </xf>
    <xf numFmtId="0" fontId="15" fillId="0" borderId="101" xfId="0" applyFont="1" applyBorder="1" applyAlignment="1">
      <alignment vertical="top" wrapText="1"/>
    </xf>
    <xf numFmtId="0" fontId="15" fillId="0" borderId="39" xfId="0" applyFont="1" applyBorder="1" applyAlignment="1">
      <alignment horizontal="center" vertical="top" wrapText="1"/>
    </xf>
    <xf numFmtId="0" fontId="33" fillId="2" borderId="1" xfId="0" applyFont="1" applyFill="1" applyBorder="1" applyAlignment="1">
      <alignment horizontal="center"/>
    </xf>
    <xf numFmtId="0" fontId="15" fillId="2" borderId="100" xfId="0" applyFont="1" applyFill="1" applyBorder="1" applyAlignment="1">
      <alignment vertical="center"/>
    </xf>
    <xf numFmtId="0" fontId="44" fillId="2" borderId="1" xfId="0" applyFont="1" applyFill="1" applyBorder="1" applyAlignment="1">
      <alignment vertical="center"/>
    </xf>
    <xf numFmtId="0" fontId="5" fillId="2" borderId="51" xfId="0" applyFont="1" applyFill="1" applyBorder="1"/>
    <xf numFmtId="0" fontId="13" fillId="0" borderId="39" xfId="0" applyFont="1" applyBorder="1" applyAlignment="1">
      <alignment horizontal="center" vertical="top"/>
    </xf>
    <xf numFmtId="0" fontId="13" fillId="0" borderId="68" xfId="0" applyFont="1" applyBorder="1" applyAlignment="1">
      <alignment horizontal="center" vertical="center"/>
    </xf>
    <xf numFmtId="0" fontId="13" fillId="0" borderId="79" xfId="0" applyFont="1" applyBorder="1" applyAlignment="1">
      <alignment horizontal="center" vertical="center"/>
    </xf>
    <xf numFmtId="0" fontId="13" fillId="0" borderId="80" xfId="0" applyFont="1" applyBorder="1" applyAlignment="1">
      <alignment horizontal="center" vertical="center"/>
    </xf>
    <xf numFmtId="0" fontId="15" fillId="0" borderId="0" xfId="0" applyFont="1" applyAlignment="1">
      <alignment vertical="center"/>
    </xf>
    <xf numFmtId="0" fontId="13" fillId="0" borderId="104" xfId="0" applyFont="1" applyBorder="1" applyAlignment="1">
      <alignment horizontal="center" vertical="top"/>
    </xf>
    <xf numFmtId="0" fontId="22" fillId="0" borderId="178" xfId="0" applyFont="1" applyBorder="1" applyAlignment="1">
      <alignment horizontal="right" vertical="center" wrapText="1"/>
    </xf>
    <xf numFmtId="0" fontId="22" fillId="0" borderId="179" xfId="0" applyFont="1" applyBorder="1" applyAlignment="1">
      <alignment horizontal="center" vertical="center" wrapText="1"/>
    </xf>
    <xf numFmtId="0" fontId="22" fillId="0" borderId="179" xfId="0" applyFont="1" applyBorder="1" applyAlignment="1">
      <alignment horizontal="right" vertical="center" wrapText="1"/>
    </xf>
    <xf numFmtId="0" fontId="22" fillId="0" borderId="97" xfId="0" applyFont="1" applyBorder="1" applyAlignment="1">
      <alignment horizontal="center" vertical="center" wrapText="1"/>
    </xf>
    <xf numFmtId="0" fontId="22" fillId="0" borderId="101" xfId="0" applyFont="1" applyBorder="1" applyAlignment="1">
      <alignment horizontal="right" vertical="center" wrapText="1"/>
    </xf>
    <xf numFmtId="0" fontId="13" fillId="0" borderId="7" xfId="0" applyFont="1" applyBorder="1" applyAlignment="1">
      <alignment horizontal="center" vertical="center"/>
    </xf>
    <xf numFmtId="0" fontId="19" fillId="3" borderId="40" xfId="0" applyFont="1" applyFill="1" applyBorder="1" applyAlignment="1">
      <alignment horizontal="center" vertical="center" wrapText="1"/>
    </xf>
    <xf numFmtId="0" fontId="22" fillId="0" borderId="59" xfId="0" applyFont="1" applyBorder="1" applyAlignment="1">
      <alignment horizontal="center" vertical="center" wrapText="1"/>
    </xf>
    <xf numFmtId="0" fontId="14" fillId="3" borderId="180" xfId="0" applyFont="1" applyFill="1" applyBorder="1" applyAlignment="1">
      <alignment horizontal="center" vertical="center" wrapText="1"/>
    </xf>
    <xf numFmtId="0" fontId="13" fillId="2" borderId="1" xfId="0" applyFont="1" applyFill="1" applyBorder="1" applyAlignment="1">
      <alignment vertical="center"/>
    </xf>
    <xf numFmtId="0" fontId="36" fillId="0" borderId="40" xfId="0" applyFont="1" applyBorder="1" applyAlignment="1">
      <alignment horizontal="left" vertical="top" wrapText="1"/>
    </xf>
    <xf numFmtId="0" fontId="36" fillId="2" borderId="40" xfId="0" applyFont="1" applyFill="1" applyBorder="1" applyAlignment="1">
      <alignment vertical="top" wrapText="1"/>
    </xf>
    <xf numFmtId="1" fontId="14" fillId="3" borderId="181" xfId="0" applyNumberFormat="1" applyFont="1" applyFill="1" applyBorder="1" applyAlignment="1">
      <alignment horizontal="center" vertical="center" readingOrder="1"/>
    </xf>
    <xf numFmtId="0" fontId="26" fillId="0" borderId="40" xfId="0" applyFont="1" applyBorder="1" applyAlignment="1">
      <alignment horizontal="left" vertical="top" wrapText="1" readingOrder="1"/>
    </xf>
    <xf numFmtId="0" fontId="14" fillId="3" borderId="124" xfId="0" applyFont="1" applyFill="1" applyBorder="1" applyAlignment="1">
      <alignment horizontal="center" vertical="center"/>
    </xf>
    <xf numFmtId="0" fontId="14" fillId="3" borderId="182" xfId="0" applyFont="1" applyFill="1" applyBorder="1" applyAlignment="1">
      <alignment horizontal="center" vertical="center" wrapText="1"/>
    </xf>
    <xf numFmtId="0" fontId="14" fillId="3" borderId="130" xfId="0" applyFont="1" applyFill="1" applyBorder="1" applyAlignment="1">
      <alignment horizontal="center" vertical="center"/>
    </xf>
    <xf numFmtId="1" fontId="14" fillId="3" borderId="183" xfId="0" applyNumberFormat="1" applyFont="1" applyFill="1" applyBorder="1" applyAlignment="1">
      <alignment horizontal="center" vertical="center" readingOrder="1"/>
    </xf>
    <xf numFmtId="0" fontId="14" fillId="3" borderId="184" xfId="0" applyFont="1" applyFill="1" applyBorder="1" applyAlignment="1">
      <alignment horizontal="center" vertical="center" wrapText="1"/>
    </xf>
    <xf numFmtId="0" fontId="14" fillId="3" borderId="185" xfId="0" applyFont="1" applyFill="1" applyBorder="1" applyAlignment="1">
      <alignment horizontal="center" vertical="center" wrapText="1"/>
    </xf>
    <xf numFmtId="0" fontId="26" fillId="0" borderId="60" xfId="0" applyFont="1" applyBorder="1" applyAlignment="1">
      <alignment horizontal="left" vertical="top" wrapText="1" readingOrder="1"/>
    </xf>
    <xf numFmtId="0" fontId="14" fillId="3" borderId="183" xfId="0" applyFont="1" applyFill="1" applyBorder="1" applyAlignment="1">
      <alignment horizontal="center" vertical="center" wrapText="1"/>
    </xf>
    <xf numFmtId="0" fontId="14" fillId="3" borderId="186" xfId="0" applyFont="1" applyFill="1" applyBorder="1" applyAlignment="1">
      <alignment horizontal="center" vertical="center" wrapText="1"/>
    </xf>
    <xf numFmtId="0" fontId="26" fillId="0" borderId="39" xfId="0" applyFont="1" applyBorder="1" applyAlignment="1">
      <alignment horizontal="left" vertical="top" wrapText="1" readingOrder="1"/>
    </xf>
    <xf numFmtId="0" fontId="14" fillId="3" borderId="187" xfId="0" applyFont="1" applyFill="1" applyBorder="1" applyAlignment="1">
      <alignment horizontal="center" vertical="center" wrapText="1"/>
    </xf>
    <xf numFmtId="0" fontId="14" fillId="3" borderId="188" xfId="0" applyFont="1" applyFill="1" applyBorder="1" applyAlignment="1">
      <alignment horizontal="center" vertical="center" wrapText="1"/>
    </xf>
    <xf numFmtId="0" fontId="26" fillId="0" borderId="91" xfId="0" applyFont="1" applyBorder="1" applyAlignment="1">
      <alignment horizontal="left" vertical="top" wrapText="1" readingOrder="1"/>
    </xf>
    <xf numFmtId="0" fontId="14" fillId="3" borderId="189" xfId="0" applyFont="1" applyFill="1" applyBorder="1" applyAlignment="1">
      <alignment horizontal="center" vertical="center" wrapText="1"/>
    </xf>
    <xf numFmtId="0" fontId="22" fillId="2" borderId="1" xfId="0" applyFont="1" applyFill="1" applyBorder="1" applyAlignment="1">
      <alignment horizontal="center" vertical="center"/>
    </xf>
    <xf numFmtId="0" fontId="13" fillId="0" borderId="152" xfId="0" applyFont="1" applyBorder="1" applyAlignment="1">
      <alignment horizontal="center" vertical="top"/>
    </xf>
    <xf numFmtId="0" fontId="13" fillId="0" borderId="190" xfId="0" applyFont="1" applyBorder="1" applyAlignment="1">
      <alignment horizontal="center" vertical="center" wrapText="1"/>
    </xf>
    <xf numFmtId="1" fontId="13" fillId="0" borderId="43" xfId="0" applyNumberFormat="1" applyFont="1" applyBorder="1" applyAlignment="1">
      <alignment horizontal="center" vertical="center" wrapText="1"/>
    </xf>
    <xf numFmtId="0" fontId="13" fillId="0" borderId="43"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0" xfId="0" applyFont="1" applyAlignment="1">
      <alignment horizontal="center" vertical="center" wrapText="1"/>
    </xf>
    <xf numFmtId="164" fontId="22" fillId="2" borderId="1" xfId="0" applyNumberFormat="1" applyFont="1" applyFill="1" applyBorder="1" applyAlignment="1">
      <alignment vertical="center"/>
    </xf>
    <xf numFmtId="0" fontId="22" fillId="0" borderId="0" xfId="0" applyFont="1" applyAlignment="1">
      <alignment horizontal="right" vertical="center"/>
    </xf>
    <xf numFmtId="0" fontId="22" fillId="0" borderId="0" xfId="0" applyFont="1" applyAlignment="1">
      <alignment horizontal="center" vertical="center"/>
    </xf>
    <xf numFmtId="0" fontId="22" fillId="2" borderId="1" xfId="0" applyFont="1" applyFill="1" applyBorder="1" applyAlignment="1">
      <alignment horizontal="right" vertical="center"/>
    </xf>
    <xf numFmtId="0" fontId="45" fillId="2" borderId="1" xfId="0" applyFont="1" applyFill="1" applyBorder="1" applyAlignment="1">
      <alignment vertical="center" wrapText="1"/>
    </xf>
    <xf numFmtId="0" fontId="5" fillId="2" borderId="158" xfId="0" applyFont="1" applyFill="1" applyBorder="1" applyAlignment="1">
      <alignment horizontal="center"/>
    </xf>
    <xf numFmtId="0" fontId="19" fillId="0" borderId="192" xfId="0" applyFont="1" applyBorder="1" applyAlignment="1">
      <alignment horizontal="right" vertical="center"/>
    </xf>
    <xf numFmtId="0" fontId="19" fillId="0" borderId="192" xfId="0" applyFont="1" applyBorder="1" applyAlignment="1">
      <alignment horizontal="center" vertical="center"/>
    </xf>
    <xf numFmtId="0" fontId="19" fillId="2" borderId="158" xfId="0" applyFont="1" applyFill="1" applyBorder="1" applyAlignment="1">
      <alignment horizontal="right" vertical="center"/>
    </xf>
    <xf numFmtId="164" fontId="19" fillId="2" borderId="158" xfId="0" applyNumberFormat="1" applyFont="1" applyFill="1" applyBorder="1" applyAlignment="1">
      <alignment horizontal="center" vertical="center"/>
    </xf>
    <xf numFmtId="164" fontId="19" fillId="2" borderId="158" xfId="0" applyNumberFormat="1" applyFont="1" applyFill="1" applyBorder="1" applyAlignment="1">
      <alignment vertical="center"/>
    </xf>
    <xf numFmtId="0" fontId="46" fillId="2" borderId="1" xfId="0" applyFont="1" applyFill="1" applyBorder="1" applyAlignment="1">
      <alignment horizontal="center" vertical="center" wrapText="1"/>
    </xf>
    <xf numFmtId="0" fontId="43" fillId="18" borderId="144" xfId="0" applyFont="1" applyFill="1" applyBorder="1" applyAlignment="1">
      <alignment vertical="center"/>
    </xf>
    <xf numFmtId="0" fontId="13" fillId="0" borderId="179" xfId="0" applyFont="1" applyBorder="1" applyAlignment="1">
      <alignment horizontal="center" vertical="center"/>
    </xf>
    <xf numFmtId="0" fontId="13" fillId="0" borderId="97" xfId="0" applyFont="1" applyBorder="1" applyAlignment="1">
      <alignment horizontal="center" vertical="center"/>
    </xf>
    <xf numFmtId="0" fontId="13" fillId="2" borderId="1" xfId="0" applyFont="1" applyFill="1" applyBorder="1" applyAlignment="1">
      <alignment vertical="center" wrapText="1"/>
    </xf>
    <xf numFmtId="0" fontId="5" fillId="0" borderId="39" xfId="0" applyFont="1" applyBorder="1" applyAlignment="1">
      <alignment horizontal="center" vertical="center"/>
    </xf>
    <xf numFmtId="0" fontId="14" fillId="3" borderId="200" xfId="0" applyFont="1" applyFill="1" applyBorder="1" applyAlignment="1">
      <alignment horizontal="center" vertical="center" wrapText="1"/>
    </xf>
    <xf numFmtId="0" fontId="36" fillId="0" borderId="40" xfId="0" applyFont="1" applyBorder="1" applyAlignment="1">
      <alignment horizontal="left" vertical="center" wrapText="1"/>
    </xf>
    <xf numFmtId="0" fontId="14" fillId="3" borderId="201" xfId="0" applyFont="1" applyFill="1" applyBorder="1" applyAlignment="1">
      <alignment horizontal="center" vertical="center" wrapText="1"/>
    </xf>
    <xf numFmtId="0" fontId="36" fillId="0" borderId="40" xfId="0" applyFont="1" applyBorder="1" applyAlignment="1">
      <alignment vertical="top" wrapText="1"/>
    </xf>
    <xf numFmtId="0" fontId="26" fillId="0" borderId="59" xfId="0" applyFont="1" applyBorder="1" applyAlignment="1">
      <alignment horizontal="left" vertical="top" wrapText="1" readingOrder="1"/>
    </xf>
    <xf numFmtId="0" fontId="14" fillId="3" borderId="202" xfId="0" applyFont="1" applyFill="1" applyBorder="1" applyAlignment="1">
      <alignment horizontal="center" vertical="center"/>
    </xf>
    <xf numFmtId="0" fontId="14" fillId="3" borderId="201" xfId="0" applyFont="1" applyFill="1" applyBorder="1" applyAlignment="1">
      <alignment horizontal="center" vertical="center"/>
    </xf>
    <xf numFmtId="0" fontId="14" fillId="3" borderId="203" xfId="0" applyFont="1" applyFill="1" applyBorder="1" applyAlignment="1">
      <alignment horizontal="center" vertical="center"/>
    </xf>
    <xf numFmtId="0" fontId="26" fillId="0" borderId="40" xfId="0" applyFont="1" applyBorder="1" applyAlignment="1">
      <alignment horizontal="left" vertical="center" wrapText="1" readingOrder="1"/>
    </xf>
    <xf numFmtId="0" fontId="14" fillId="3" borderId="203" xfId="0" applyFont="1" applyFill="1" applyBorder="1" applyAlignment="1">
      <alignment horizontal="center" vertical="center" wrapText="1"/>
    </xf>
    <xf numFmtId="0" fontId="14" fillId="3" borderId="204" xfId="0" applyFont="1" applyFill="1" applyBorder="1" applyAlignment="1">
      <alignment horizontal="center" vertical="center" wrapText="1"/>
    </xf>
    <xf numFmtId="0" fontId="14" fillId="3" borderId="205" xfId="0" applyFont="1" applyFill="1" applyBorder="1" applyAlignment="1">
      <alignment horizontal="center" vertical="center" wrapText="1"/>
    </xf>
    <xf numFmtId="0" fontId="5" fillId="0" borderId="42" xfId="0" applyFont="1" applyBorder="1" applyAlignment="1">
      <alignment horizontal="center"/>
    </xf>
    <xf numFmtId="0" fontId="13" fillId="2" borderId="1" xfId="0" applyFont="1" applyFill="1" applyBorder="1" applyAlignment="1">
      <alignment wrapText="1"/>
    </xf>
    <xf numFmtId="164" fontId="15" fillId="2" borderId="1" xfId="0" applyNumberFormat="1" applyFont="1" applyFill="1" applyBorder="1" applyAlignment="1">
      <alignment horizontal="center" vertical="center"/>
    </xf>
    <xf numFmtId="0" fontId="15" fillId="2" borderId="1" xfId="0" applyFont="1" applyFill="1" applyBorder="1" applyAlignment="1">
      <alignment horizontal="left"/>
    </xf>
    <xf numFmtId="0" fontId="13" fillId="0" borderId="39"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39" xfId="0" applyFont="1" applyBorder="1" applyAlignment="1">
      <alignment wrapText="1"/>
    </xf>
    <xf numFmtId="0" fontId="13" fillId="0" borderId="59" xfId="0" applyFont="1" applyBorder="1" applyAlignment="1">
      <alignment horizontal="center" vertical="center" wrapText="1"/>
    </xf>
    <xf numFmtId="164" fontId="13" fillId="0" borderId="59" xfId="0" applyNumberFormat="1" applyFont="1" applyBorder="1" applyAlignment="1">
      <alignment horizontal="center" vertical="center" wrapText="1"/>
    </xf>
    <xf numFmtId="0" fontId="13" fillId="2" borderId="41" xfId="0" applyFont="1" applyFill="1" applyBorder="1" applyAlignment="1">
      <alignment horizontal="center" vertical="center"/>
    </xf>
    <xf numFmtId="0" fontId="15" fillId="0" borderId="39" xfId="0" applyFont="1" applyBorder="1" applyAlignment="1">
      <alignment horizontal="left" vertical="top" wrapText="1"/>
    </xf>
    <xf numFmtId="0" fontId="15" fillId="2" borderId="84" xfId="0" applyFont="1" applyFill="1" applyBorder="1" applyAlignment="1">
      <alignment vertical="center" wrapText="1"/>
    </xf>
    <xf numFmtId="0" fontId="15" fillId="2" borderId="51" xfId="0" applyFont="1" applyFill="1" applyBorder="1" applyAlignment="1">
      <alignment vertical="top" wrapText="1"/>
    </xf>
    <xf numFmtId="164" fontId="13" fillId="2" borderId="66" xfId="0" applyNumberFormat="1" applyFont="1" applyFill="1" applyBorder="1" applyAlignment="1">
      <alignment horizontal="center" vertical="top"/>
    </xf>
    <xf numFmtId="0" fontId="15" fillId="2" borderId="86" xfId="0" applyFont="1" applyFill="1" applyBorder="1" applyAlignment="1">
      <alignment vertical="center" wrapText="1"/>
    </xf>
    <xf numFmtId="0" fontId="15" fillId="0" borderId="7" xfId="0" applyFont="1" applyBorder="1" applyAlignment="1">
      <alignment vertical="top" wrapText="1"/>
    </xf>
    <xf numFmtId="0" fontId="15" fillId="0" borderId="8" xfId="0" applyFont="1" applyBorder="1" applyAlignment="1">
      <alignment horizontal="center" vertical="center" wrapText="1"/>
    </xf>
    <xf numFmtId="164" fontId="13" fillId="2" borderId="72" xfId="0" applyNumberFormat="1" applyFont="1" applyFill="1" applyBorder="1" applyAlignment="1">
      <alignment vertical="center"/>
    </xf>
    <xf numFmtId="0" fontId="15" fillId="2" borderId="98" xfId="0" applyFont="1" applyFill="1" applyBorder="1" applyAlignment="1">
      <alignment horizontal="left" vertical="top" wrapText="1"/>
    </xf>
    <xf numFmtId="0" fontId="15" fillId="2" borderId="85" xfId="0" applyFont="1" applyFill="1" applyBorder="1"/>
    <xf numFmtId="0" fontId="13" fillId="0" borderId="39" xfId="0" applyFont="1" applyBorder="1" applyAlignment="1">
      <alignment horizontal="left" vertical="center" wrapText="1"/>
    </xf>
    <xf numFmtId="0" fontId="13" fillId="0" borderId="8" xfId="0" applyFont="1" applyBorder="1" applyAlignment="1">
      <alignment horizontal="left" vertical="center"/>
    </xf>
    <xf numFmtId="164" fontId="47" fillId="3" borderId="40" xfId="0" applyNumberFormat="1" applyFont="1" applyFill="1" applyBorder="1" applyAlignment="1">
      <alignment horizontal="center" vertical="center"/>
    </xf>
    <xf numFmtId="0" fontId="48" fillId="0" borderId="39" xfId="0" applyFont="1" applyBorder="1" applyAlignment="1">
      <alignment vertical="top" wrapText="1"/>
    </xf>
    <xf numFmtId="0" fontId="48" fillId="0" borderId="40" xfId="0" applyFont="1" applyBorder="1" applyAlignment="1">
      <alignment horizontal="center" vertical="center"/>
    </xf>
    <xf numFmtId="0" fontId="15" fillId="2" borderId="51" xfId="0" applyFont="1" applyFill="1" applyBorder="1" applyAlignment="1">
      <alignment horizontal="left" vertical="top" wrapText="1"/>
    </xf>
    <xf numFmtId="0" fontId="15" fillId="2" borderId="51" xfId="0" applyFont="1" applyFill="1" applyBorder="1" applyAlignment="1">
      <alignment horizontal="left" vertical="top"/>
    </xf>
    <xf numFmtId="0" fontId="15" fillId="2" borderId="159" xfId="0" applyFont="1" applyFill="1" applyBorder="1" applyAlignment="1">
      <alignment horizontal="left" vertical="top" wrapText="1"/>
    </xf>
    <xf numFmtId="0" fontId="15" fillId="2" borderId="214" xfId="0" applyFont="1" applyFill="1" applyBorder="1" applyAlignment="1">
      <alignment horizontal="left" vertical="top" wrapText="1"/>
    </xf>
    <xf numFmtId="0" fontId="15" fillId="0" borderId="43" xfId="0" applyFont="1" applyBorder="1" applyAlignment="1">
      <alignment horizontal="center" vertical="center"/>
    </xf>
    <xf numFmtId="0" fontId="15" fillId="2" borderId="55" xfId="0" applyFont="1" applyFill="1" applyBorder="1" applyAlignment="1">
      <alignment horizontal="left" vertical="center" wrapText="1"/>
    </xf>
    <xf numFmtId="0" fontId="15" fillId="2" borderId="216" xfId="0" applyFont="1" applyFill="1" applyBorder="1" applyAlignment="1">
      <alignment horizontal="left" vertical="top" wrapText="1"/>
    </xf>
    <xf numFmtId="164" fontId="13" fillId="2" borderId="1" xfId="0" applyNumberFormat="1" applyFont="1" applyFill="1" applyBorder="1" applyAlignment="1">
      <alignment horizontal="center" vertical="center"/>
    </xf>
    <xf numFmtId="0" fontId="15" fillId="2" borderId="1" xfId="0" applyFont="1" applyFill="1" applyBorder="1" applyAlignment="1">
      <alignment horizontal="left" vertical="top" wrapText="1"/>
    </xf>
    <xf numFmtId="0" fontId="15" fillId="2" borderId="1" xfId="0" applyFont="1" applyFill="1" applyBorder="1" applyAlignment="1">
      <alignment horizontal="left" vertical="center" wrapText="1"/>
    </xf>
    <xf numFmtId="0" fontId="15" fillId="2" borderId="1" xfId="0" applyFont="1" applyFill="1" applyBorder="1" applyAlignment="1">
      <alignment wrapText="1"/>
    </xf>
    <xf numFmtId="0" fontId="14" fillId="4" borderId="217" xfId="0" applyFont="1" applyFill="1" applyBorder="1" applyAlignment="1">
      <alignment vertical="center" wrapText="1"/>
    </xf>
    <xf numFmtId="164" fontId="14" fillId="4" borderId="218" xfId="0" applyNumberFormat="1" applyFont="1" applyFill="1" applyBorder="1" applyAlignment="1">
      <alignment horizontal="center" vertical="center"/>
    </xf>
    <xf numFmtId="164" fontId="15" fillId="22" borderId="30" xfId="0" applyNumberFormat="1" applyFont="1" applyFill="1" applyBorder="1" applyAlignment="1">
      <alignment horizontal="center" vertical="center"/>
    </xf>
    <xf numFmtId="164" fontId="13" fillId="2" borderId="61" xfId="0" applyNumberFormat="1" applyFont="1" applyFill="1" applyBorder="1" applyAlignment="1">
      <alignment horizontal="center"/>
    </xf>
    <xf numFmtId="0" fontId="13" fillId="2" borderId="47" xfId="0" applyFont="1" applyFill="1" applyBorder="1" applyAlignment="1">
      <alignment wrapText="1"/>
    </xf>
    <xf numFmtId="0" fontId="15" fillId="2" borderId="47" xfId="0" applyFont="1" applyFill="1" applyBorder="1" applyAlignment="1">
      <alignment horizontal="center"/>
    </xf>
    <xf numFmtId="164" fontId="13" fillId="2" borderId="70" xfId="0" applyNumberFormat="1" applyFont="1" applyFill="1" applyBorder="1" applyAlignment="1">
      <alignment horizontal="center"/>
    </xf>
    <xf numFmtId="0" fontId="15" fillId="2" borderId="84" xfId="0" applyFont="1" applyFill="1" applyBorder="1" applyAlignment="1">
      <alignment horizontal="left" vertical="top" wrapText="1"/>
    </xf>
    <xf numFmtId="0" fontId="13" fillId="0" borderId="219" xfId="0" applyFont="1" applyBorder="1" applyAlignment="1">
      <alignment vertical="center" wrapText="1"/>
    </xf>
    <xf numFmtId="3" fontId="13" fillId="0" borderId="220" xfId="0" applyNumberFormat="1" applyFont="1" applyBorder="1" applyAlignment="1">
      <alignment horizontal="center" vertical="center"/>
    </xf>
    <xf numFmtId="164" fontId="15" fillId="22" borderId="1" xfId="0" applyNumberFormat="1" applyFont="1" applyFill="1" applyBorder="1" applyAlignment="1">
      <alignment horizontal="center" vertical="center"/>
    </xf>
    <xf numFmtId="0" fontId="15" fillId="6" borderId="84" xfId="0" applyFont="1" applyFill="1" applyBorder="1" applyAlignment="1">
      <alignment horizontal="left" vertical="center" wrapText="1"/>
    </xf>
    <xf numFmtId="0" fontId="15" fillId="6" borderId="86" xfId="0" applyFont="1" applyFill="1" applyBorder="1" applyAlignment="1">
      <alignment horizontal="left" vertical="center" wrapText="1"/>
    </xf>
    <xf numFmtId="0" fontId="13" fillId="23" borderId="96" xfId="0" applyFont="1" applyFill="1" applyBorder="1" applyAlignment="1">
      <alignment horizontal="left" vertical="top" wrapText="1"/>
    </xf>
    <xf numFmtId="0" fontId="13" fillId="23" borderId="221" xfId="0" applyFont="1" applyFill="1" applyBorder="1" applyAlignment="1">
      <alignment horizontal="left" vertical="top" wrapText="1"/>
    </xf>
    <xf numFmtId="0" fontId="13" fillId="23" borderId="179" xfId="0" applyFont="1" applyFill="1" applyBorder="1" applyAlignment="1">
      <alignment horizontal="left" vertical="top" wrapText="1"/>
    </xf>
    <xf numFmtId="0" fontId="10" fillId="0" borderId="91" xfId="0" applyFont="1" applyBorder="1" applyAlignment="1">
      <alignment horizontal="center" vertical="center" wrapText="1"/>
    </xf>
    <xf numFmtId="0" fontId="15" fillId="2" borderId="25" xfId="0" applyFont="1" applyFill="1" applyBorder="1"/>
    <xf numFmtId="0" fontId="15" fillId="2" borderId="223" xfId="0" applyFont="1" applyFill="1" applyBorder="1"/>
    <xf numFmtId="0" fontId="15" fillId="2" borderId="88" xfId="0" applyFont="1" applyFill="1" applyBorder="1"/>
    <xf numFmtId="0" fontId="15" fillId="2" borderId="30" xfId="0" applyFont="1" applyFill="1" applyBorder="1"/>
    <xf numFmtId="0" fontId="15" fillId="2" borderId="224" xfId="0" applyFont="1" applyFill="1" applyBorder="1" applyAlignment="1">
      <alignment horizontal="center"/>
    </xf>
    <xf numFmtId="0" fontId="15" fillId="2" borderId="55" xfId="0" applyFont="1" applyFill="1" applyBorder="1" applyAlignment="1">
      <alignment horizontal="center"/>
    </xf>
    <xf numFmtId="0" fontId="22" fillId="0" borderId="60" xfId="0" applyFont="1" applyBorder="1" applyAlignment="1">
      <alignment horizontal="center" vertical="center"/>
    </xf>
    <xf numFmtId="0" fontId="22" fillId="0" borderId="40" xfId="0" applyFont="1" applyBorder="1" applyAlignment="1">
      <alignment horizontal="center" vertical="center"/>
    </xf>
    <xf numFmtId="0" fontId="22" fillId="0" borderId="41" xfId="0" applyFont="1" applyBorder="1" applyAlignment="1">
      <alignment horizontal="center" vertical="center"/>
    </xf>
    <xf numFmtId="0" fontId="6" fillId="2" borderId="113" xfId="0" applyFont="1" applyFill="1" applyBorder="1" applyAlignment="1">
      <alignment horizontal="center" vertical="center"/>
    </xf>
    <xf numFmtId="0" fontId="5" fillId="2" borderId="113" xfId="0" applyFont="1" applyFill="1" applyBorder="1" applyAlignment="1">
      <alignment horizontal="center" vertical="center"/>
    </xf>
    <xf numFmtId="0" fontId="14" fillId="3" borderId="126" xfId="0" applyFont="1" applyFill="1" applyBorder="1" applyAlignment="1">
      <alignment horizontal="center" vertical="center" readingOrder="1"/>
    </xf>
    <xf numFmtId="1" fontId="14" fillId="3" borderId="127" xfId="0" applyNumberFormat="1" applyFont="1" applyFill="1" applyBorder="1" applyAlignment="1">
      <alignment horizontal="center" vertical="center" wrapText="1"/>
    </xf>
    <xf numFmtId="0" fontId="5" fillId="2" borderId="226" xfId="0" applyFont="1" applyFill="1" applyBorder="1" applyAlignment="1">
      <alignment horizontal="center" vertical="center"/>
    </xf>
    <xf numFmtId="0" fontId="15" fillId="0" borderId="64" xfId="0" applyFont="1" applyBorder="1" applyAlignment="1">
      <alignment horizontal="left" vertical="top" wrapText="1"/>
    </xf>
    <xf numFmtId="0" fontId="14" fillId="3" borderId="128" xfId="0" applyFont="1" applyFill="1" applyBorder="1" applyAlignment="1">
      <alignment horizontal="center" vertical="center" readingOrder="1"/>
    </xf>
    <xf numFmtId="0" fontId="14" fillId="3" borderId="66" xfId="0" applyFont="1" applyFill="1" applyBorder="1" applyAlignment="1">
      <alignment horizontal="center" vertical="center"/>
    </xf>
    <xf numFmtId="1" fontId="14" fillId="3" borderId="214" xfId="0" applyNumberFormat="1" applyFont="1" applyFill="1" applyBorder="1" applyAlignment="1">
      <alignment horizontal="center" vertical="center" wrapText="1"/>
    </xf>
    <xf numFmtId="0" fontId="5" fillId="2" borderId="106" xfId="0" applyFont="1" applyFill="1" applyBorder="1" applyAlignment="1">
      <alignment horizontal="center" vertical="center"/>
    </xf>
    <xf numFmtId="0" fontId="49" fillId="0" borderId="190" xfId="0" applyFont="1" applyBorder="1" applyAlignment="1">
      <alignment horizontal="center" vertical="top" wrapText="1" readingOrder="1"/>
    </xf>
    <xf numFmtId="1" fontId="49" fillId="0" borderId="43" xfId="0" applyNumberFormat="1" applyFont="1" applyBorder="1" applyAlignment="1">
      <alignment horizontal="center" vertical="center" readingOrder="1"/>
    </xf>
    <xf numFmtId="1" fontId="49" fillId="0" borderId="44" xfId="0" applyNumberFormat="1" applyFont="1" applyBorder="1" applyAlignment="1">
      <alignment horizontal="center" vertical="center" readingOrder="1"/>
    </xf>
    <xf numFmtId="0" fontId="26" fillId="0" borderId="0" xfId="0" applyFont="1" applyAlignment="1">
      <alignment horizontal="left" vertical="top" readingOrder="1"/>
    </xf>
    <xf numFmtId="0" fontId="26" fillId="0" borderId="0" xfId="0" applyFont="1" applyAlignment="1">
      <alignment horizontal="left" readingOrder="1"/>
    </xf>
    <xf numFmtId="0" fontId="26" fillId="0" borderId="0" xfId="0" applyFont="1"/>
    <xf numFmtId="0" fontId="52" fillId="2" borderId="1" xfId="0" applyFont="1" applyFill="1" applyBorder="1"/>
    <xf numFmtId="0" fontId="6" fillId="0" borderId="73" xfId="0" applyFont="1" applyBorder="1" applyAlignment="1">
      <alignment horizontal="center" vertical="center"/>
    </xf>
    <xf numFmtId="0" fontId="6" fillId="0" borderId="92" xfId="0" applyFont="1" applyBorder="1" applyAlignment="1">
      <alignment horizontal="center" vertical="center"/>
    </xf>
    <xf numFmtId="0" fontId="6" fillId="0" borderId="81" xfId="0" applyFont="1" applyBorder="1" applyAlignment="1">
      <alignment horizontal="center" vertical="center"/>
    </xf>
    <xf numFmtId="0" fontId="53" fillId="2" borderId="145" xfId="0" applyFont="1" applyFill="1" applyBorder="1" applyAlignment="1">
      <alignment horizontal="left" vertical="center"/>
    </xf>
    <xf numFmtId="0" fontId="22" fillId="2" borderId="100" xfId="0" applyFont="1" applyFill="1" applyBorder="1" applyAlignment="1">
      <alignment horizontal="left" vertical="center"/>
    </xf>
    <xf numFmtId="0" fontId="5" fillId="2" borderId="51" xfId="0" applyFont="1" applyFill="1" applyBorder="1" applyAlignment="1">
      <alignment horizontal="left"/>
    </xf>
    <xf numFmtId="0" fontId="6" fillId="0" borderId="8" xfId="0" applyFont="1" applyBorder="1" applyAlignment="1">
      <alignment horizontal="center" vertical="center" wrapText="1"/>
    </xf>
    <xf numFmtId="0" fontId="5" fillId="2" borderId="51" xfId="0" applyFont="1" applyFill="1" applyBorder="1" applyAlignment="1">
      <alignment horizontal="left" vertical="center"/>
    </xf>
    <xf numFmtId="0" fontId="26" fillId="0" borderId="73" xfId="0" applyFont="1" applyBorder="1" applyAlignment="1">
      <alignment horizontal="left" vertical="top" wrapText="1" readingOrder="1"/>
    </xf>
    <xf numFmtId="0" fontId="26" fillId="0" borderId="92" xfId="0" applyFont="1" applyBorder="1" applyAlignment="1">
      <alignment horizontal="left" vertical="top" wrapText="1" readingOrder="1"/>
    </xf>
    <xf numFmtId="0" fontId="14" fillId="3" borderId="125" xfId="0" applyFont="1" applyFill="1" applyBorder="1" applyAlignment="1">
      <alignment horizontal="center" vertical="center"/>
    </xf>
    <xf numFmtId="0" fontId="13" fillId="2" borderId="100" xfId="0" applyFont="1" applyFill="1" applyBorder="1" applyAlignment="1">
      <alignment horizontal="left" vertical="center"/>
    </xf>
    <xf numFmtId="0" fontId="15" fillId="2" borderId="51" xfId="0" applyFont="1" applyFill="1" applyBorder="1" applyAlignment="1">
      <alignment horizontal="left"/>
    </xf>
    <xf numFmtId="1" fontId="14" fillId="3" borderId="126" xfId="0" applyNumberFormat="1" applyFont="1" applyFill="1" applyBorder="1" applyAlignment="1">
      <alignment horizontal="center" vertical="center" readingOrder="1"/>
    </xf>
    <xf numFmtId="0" fontId="26" fillId="2" borderId="1" xfId="0" applyFont="1" applyFill="1" applyBorder="1" applyAlignment="1">
      <alignment horizontal="left" vertical="center" readingOrder="1"/>
    </xf>
    <xf numFmtId="1" fontId="14" fillId="3" borderId="128" xfId="0" applyNumberFormat="1" applyFont="1" applyFill="1" applyBorder="1" applyAlignment="1">
      <alignment horizontal="center" vertical="center" readingOrder="1"/>
    </xf>
    <xf numFmtId="0" fontId="6" fillId="2" borderId="42" xfId="0" applyFont="1" applyFill="1" applyBorder="1" applyAlignment="1">
      <alignment horizontal="center" vertical="center"/>
    </xf>
    <xf numFmtId="0" fontId="13" fillId="0" borderId="215" xfId="0" applyFont="1" applyBorder="1" applyAlignment="1">
      <alignment horizontal="center" vertical="center" wrapText="1"/>
    </xf>
    <xf numFmtId="0" fontId="13" fillId="2" borderId="157" xfId="0" applyFont="1" applyFill="1" applyBorder="1" applyAlignment="1">
      <alignment horizontal="center" vertical="center" wrapText="1"/>
    </xf>
    <xf numFmtId="0" fontId="5" fillId="2" borderId="158" xfId="0" applyFont="1" applyFill="1" applyBorder="1"/>
    <xf numFmtId="0" fontId="5" fillId="2" borderId="55" xfId="0" applyFont="1" applyFill="1" applyBorder="1"/>
    <xf numFmtId="0" fontId="45" fillId="2" borderId="1" xfId="0" applyFont="1" applyFill="1" applyBorder="1" applyAlignment="1">
      <alignment horizontal="center" vertical="center"/>
    </xf>
    <xf numFmtId="0" fontId="54" fillId="2" borderId="1" xfId="0" applyFont="1" applyFill="1" applyBorder="1"/>
    <xf numFmtId="0" fontId="55" fillId="0" borderId="0" xfId="0" applyFont="1" applyAlignment="1">
      <alignment horizontal="left" readingOrder="1"/>
    </xf>
    <xf numFmtId="0" fontId="5" fillId="2" borderId="145" xfId="0" applyFont="1" applyFill="1" applyBorder="1" applyAlignment="1">
      <alignment horizontal="left" vertical="center"/>
    </xf>
    <xf numFmtId="0" fontId="5" fillId="2" borderId="146" xfId="0" applyFont="1" applyFill="1" applyBorder="1" applyAlignment="1">
      <alignment horizontal="left" vertical="center"/>
    </xf>
    <xf numFmtId="0" fontId="5" fillId="2" borderId="100" xfId="0" applyFont="1" applyFill="1" applyBorder="1"/>
    <xf numFmtId="0" fontId="22" fillId="0" borderId="39" xfId="0" applyFont="1" applyBorder="1" applyAlignment="1">
      <alignment horizontal="right" vertical="center" wrapText="1"/>
    </xf>
    <xf numFmtId="0" fontId="5" fillId="2" borderId="100" xfId="0" applyFont="1" applyFill="1" applyBorder="1" applyAlignment="1">
      <alignment horizontal="left"/>
    </xf>
    <xf numFmtId="0" fontId="44" fillId="2" borderId="1" xfId="0" applyFont="1" applyFill="1" applyBorder="1"/>
    <xf numFmtId="0" fontId="5" fillId="2" borderId="100" xfId="0" applyFont="1" applyFill="1" applyBorder="1" applyAlignment="1">
      <alignment horizontal="left" vertical="center"/>
    </xf>
    <xf numFmtId="0" fontId="14" fillId="3" borderId="124" xfId="0" applyFont="1" applyFill="1" applyBorder="1" applyAlignment="1">
      <alignment horizontal="center" vertical="center" readingOrder="1"/>
    </xf>
    <xf numFmtId="1" fontId="14" fillId="3" borderId="125" xfId="0" applyNumberFormat="1" applyFont="1" applyFill="1" applyBorder="1" applyAlignment="1">
      <alignment horizontal="center" vertical="center" wrapText="1"/>
    </xf>
    <xf numFmtId="1" fontId="14" fillId="3" borderId="227" xfId="0" applyNumberFormat="1" applyFont="1" applyFill="1" applyBorder="1" applyAlignment="1">
      <alignment horizontal="center" vertical="center" wrapText="1"/>
    </xf>
    <xf numFmtId="0" fontId="15" fillId="0" borderId="190" xfId="0" applyFont="1" applyBorder="1"/>
    <xf numFmtId="1" fontId="26" fillId="0" borderId="43" xfId="0" applyNumberFormat="1" applyFont="1" applyBorder="1" applyAlignment="1">
      <alignment horizontal="center" readingOrder="1"/>
    </xf>
    <xf numFmtId="164" fontId="13" fillId="0" borderId="43" xfId="0" applyNumberFormat="1" applyFont="1" applyBorder="1"/>
    <xf numFmtId="1" fontId="26" fillId="0" borderId="44" xfId="0" applyNumberFormat="1" applyFont="1" applyBorder="1" applyAlignment="1">
      <alignment horizontal="center" readingOrder="1"/>
    </xf>
    <xf numFmtId="0" fontId="55" fillId="2" borderId="1" xfId="0" applyFont="1" applyFill="1" applyBorder="1" applyAlignment="1">
      <alignment horizontal="left" vertical="center" readingOrder="1"/>
    </xf>
    <xf numFmtId="1" fontId="26" fillId="0" borderId="0" xfId="0" applyNumberFormat="1" applyFont="1" applyAlignment="1">
      <alignment horizontal="center" readingOrder="1"/>
    </xf>
    <xf numFmtId="164" fontId="13" fillId="0" borderId="0" xfId="0" applyNumberFormat="1" applyFont="1"/>
    <xf numFmtId="0" fontId="24" fillId="2" borderId="100" xfId="0" applyFont="1" applyFill="1" applyBorder="1" applyAlignment="1">
      <alignment horizontal="left"/>
    </xf>
    <xf numFmtId="0" fontId="24" fillId="2" borderId="1" xfId="0" applyFont="1" applyFill="1" applyBorder="1" applyAlignment="1">
      <alignment horizontal="left"/>
    </xf>
    <xf numFmtId="0" fontId="24" fillId="2" borderId="51" xfId="0" applyFont="1" applyFill="1" applyBorder="1" applyAlignment="1">
      <alignment horizontal="left"/>
    </xf>
    <xf numFmtId="0" fontId="24" fillId="2" borderId="157" xfId="0" applyFont="1" applyFill="1" applyBorder="1" applyAlignment="1">
      <alignment horizontal="left"/>
    </xf>
    <xf numFmtId="0" fontId="24" fillId="2" borderId="158" xfId="0" applyFont="1" applyFill="1" applyBorder="1" applyAlignment="1">
      <alignment horizontal="left"/>
    </xf>
    <xf numFmtId="0" fontId="24" fillId="2" borderId="55" xfId="0" applyFont="1" applyFill="1" applyBorder="1" applyAlignment="1">
      <alignment horizontal="left"/>
    </xf>
    <xf numFmtId="0" fontId="57" fillId="0" borderId="0" xfId="0" applyFont="1"/>
    <xf numFmtId="0" fontId="6" fillId="2" borderId="39" xfId="0" applyFont="1" applyFill="1" applyBorder="1"/>
    <xf numFmtId="0" fontId="6" fillId="0" borderId="60" xfId="0" applyFont="1" applyBorder="1" applyAlignment="1">
      <alignment horizontal="center"/>
    </xf>
    <xf numFmtId="0" fontId="6" fillId="0" borderId="40" xfId="0" applyFont="1" applyBorder="1" applyAlignment="1">
      <alignment horizontal="center"/>
    </xf>
    <xf numFmtId="0" fontId="6" fillId="0" borderId="41" xfId="0" applyFont="1" applyBorder="1" applyAlignment="1">
      <alignment horizontal="center"/>
    </xf>
    <xf numFmtId="0" fontId="6" fillId="2" borderId="100" xfId="0" applyFont="1" applyFill="1" applyBorder="1"/>
    <xf numFmtId="0" fontId="6" fillId="2" borderId="51" xfId="0" applyFont="1" applyFill="1" applyBorder="1"/>
    <xf numFmtId="0" fontId="5" fillId="2" borderId="51" xfId="0" applyFont="1" applyFill="1" applyBorder="1" applyAlignment="1">
      <alignment horizontal="center" vertical="center"/>
    </xf>
    <xf numFmtId="0" fontId="58" fillId="0" borderId="0" xfId="0" applyFont="1" applyAlignment="1">
      <alignment horizontal="center"/>
    </xf>
    <xf numFmtId="0" fontId="5" fillId="0" borderId="85" xfId="0" applyFont="1" applyBorder="1"/>
    <xf numFmtId="0" fontId="26" fillId="0" borderId="190" xfId="0" applyFont="1" applyBorder="1" applyAlignment="1">
      <alignment horizontal="left" vertical="top" wrapText="1" readingOrder="1"/>
    </xf>
    <xf numFmtId="0" fontId="13" fillId="0" borderId="43" xfId="0" applyFont="1" applyBorder="1" applyAlignment="1">
      <alignment horizontal="center" vertical="center" readingOrder="1"/>
    </xf>
    <xf numFmtId="0" fontId="26" fillId="0" borderId="43" xfId="0" applyFont="1" applyBorder="1" applyAlignment="1">
      <alignment horizontal="left" vertical="top" wrapText="1" readingOrder="1"/>
    </xf>
    <xf numFmtId="1" fontId="13" fillId="0" borderId="44" xfId="0" applyNumberFormat="1" applyFont="1" applyBorder="1" applyAlignment="1">
      <alignment horizontal="center" vertical="center" wrapText="1"/>
    </xf>
    <xf numFmtId="1" fontId="26" fillId="2" borderId="1" xfId="0" applyNumberFormat="1" applyFont="1" applyFill="1" applyBorder="1" applyAlignment="1">
      <alignment horizontal="center" readingOrder="1"/>
    </xf>
    <xf numFmtId="0" fontId="5" fillId="2" borderId="157" xfId="0" applyFont="1" applyFill="1" applyBorder="1"/>
    <xf numFmtId="0" fontId="6" fillId="2" borderId="40" xfId="0" applyFont="1" applyFill="1" applyBorder="1" applyAlignment="1">
      <alignment horizontal="center" vertical="center"/>
    </xf>
    <xf numFmtId="0" fontId="13" fillId="0" borderId="60" xfId="0" applyFont="1" applyBorder="1" applyAlignment="1">
      <alignment horizontal="center" vertical="center" wrapText="1"/>
    </xf>
    <xf numFmtId="0" fontId="6" fillId="2" borderId="144" xfId="0" applyFont="1" applyFill="1" applyBorder="1" applyAlignment="1">
      <alignment horizontal="left"/>
    </xf>
    <xf numFmtId="0" fontId="6" fillId="2" borderId="145" xfId="0" applyFont="1" applyFill="1" applyBorder="1" applyAlignment="1">
      <alignment horizontal="left"/>
    </xf>
    <xf numFmtId="0" fontId="6" fillId="2" borderId="146" xfId="0" applyFont="1" applyFill="1" applyBorder="1" applyAlignment="1">
      <alignment horizontal="left"/>
    </xf>
    <xf numFmtId="0" fontId="22" fillId="2" borderId="40" xfId="0" applyFont="1" applyFill="1" applyBorder="1" applyAlignment="1">
      <alignment horizontal="center" vertical="center"/>
    </xf>
    <xf numFmtId="0" fontId="6" fillId="2" borderId="100" xfId="0" applyFont="1" applyFill="1" applyBorder="1" applyAlignment="1">
      <alignment horizontal="left"/>
    </xf>
    <xf numFmtId="0" fontId="26" fillId="0" borderId="40" xfId="0" applyFont="1" applyBorder="1" applyAlignment="1">
      <alignment horizontal="left" vertical="top" wrapText="1"/>
    </xf>
    <xf numFmtId="0" fontId="15" fillId="0" borderId="40" xfId="0" applyFont="1" applyBorder="1" applyAlignment="1">
      <alignment horizontal="left" vertical="center" wrapText="1"/>
    </xf>
    <xf numFmtId="0" fontId="14" fillId="2" borderId="66" xfId="0" applyFont="1" applyFill="1" applyBorder="1" applyAlignment="1">
      <alignment horizontal="center" vertical="center" wrapText="1"/>
    </xf>
    <xf numFmtId="0" fontId="14" fillId="3" borderId="227" xfId="0" applyFont="1" applyFill="1" applyBorder="1" applyAlignment="1">
      <alignment horizontal="center" vertical="center" wrapText="1"/>
    </xf>
    <xf numFmtId="0" fontId="14" fillId="3" borderId="111" xfId="0" applyFont="1" applyFill="1" applyBorder="1" applyAlignment="1">
      <alignment horizontal="center" vertical="center" wrapText="1"/>
    </xf>
    <xf numFmtId="0" fontId="14" fillId="3" borderId="40" xfId="0" applyFont="1" applyFill="1" applyBorder="1" applyAlignment="1">
      <alignment horizontal="center" vertical="center" wrapText="1"/>
    </xf>
    <xf numFmtId="0" fontId="14" fillId="3" borderId="41" xfId="0" applyFont="1" applyFill="1" applyBorder="1" applyAlignment="1">
      <alignment horizontal="center" vertical="center" wrapText="1"/>
    </xf>
    <xf numFmtId="0" fontId="26" fillId="2" borderId="13" xfId="0" applyFont="1" applyFill="1" applyBorder="1" applyAlignment="1">
      <alignment vertical="top" wrapText="1"/>
    </xf>
    <xf numFmtId="0" fontId="59" fillId="2" borderId="1" xfId="0" applyFont="1" applyFill="1" applyBorder="1" applyAlignment="1">
      <alignment horizontal="left" vertical="center"/>
    </xf>
    <xf numFmtId="0" fontId="59" fillId="2" borderId="51" xfId="0" applyFont="1" applyFill="1" applyBorder="1" applyAlignment="1">
      <alignment horizontal="left" vertical="center"/>
    </xf>
    <xf numFmtId="0" fontId="14" fillId="3" borderId="70" xfId="0" applyFont="1" applyFill="1" applyBorder="1" applyAlignment="1">
      <alignment horizontal="center" vertical="center" wrapText="1"/>
    </xf>
    <xf numFmtId="0" fontId="14" fillId="3" borderId="228" xfId="0" applyFont="1" applyFill="1" applyBorder="1" applyAlignment="1">
      <alignment horizontal="center" vertical="center" wrapText="1"/>
    </xf>
    <xf numFmtId="0" fontId="15" fillId="0" borderId="59" xfId="0" applyFont="1" applyBorder="1" applyAlignment="1">
      <alignment horizontal="center" vertical="center" wrapText="1"/>
    </xf>
    <xf numFmtId="0" fontId="14" fillId="3" borderId="230"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15" fillId="0" borderId="43" xfId="0" applyFont="1" applyBorder="1" applyAlignment="1">
      <alignment horizontal="left" vertical="top" wrapText="1"/>
    </xf>
    <xf numFmtId="0" fontId="14" fillId="3" borderId="231" xfId="0" applyFont="1" applyFill="1" applyBorder="1" applyAlignment="1">
      <alignment horizontal="center" vertical="center" wrapText="1"/>
    </xf>
    <xf numFmtId="0" fontId="14" fillId="3" borderId="232" xfId="0" applyFont="1" applyFill="1" applyBorder="1" applyAlignment="1">
      <alignment horizontal="center" vertical="center" wrapText="1"/>
    </xf>
    <xf numFmtId="0" fontId="31" fillId="0" borderId="132" xfId="0" applyFont="1" applyBorder="1" applyAlignment="1">
      <alignment vertical="center" wrapText="1"/>
    </xf>
    <xf numFmtId="0" fontId="15" fillId="0" borderId="107" xfId="0" applyFont="1" applyBorder="1" applyAlignment="1">
      <alignment horizontal="center" vertical="center" wrapText="1"/>
    </xf>
    <xf numFmtId="0" fontId="13" fillId="0" borderId="0" xfId="0" applyFont="1" applyAlignment="1">
      <alignment horizontal="center"/>
    </xf>
    <xf numFmtId="0" fontId="13" fillId="2" borderId="39" xfId="0" applyFont="1" applyFill="1" applyBorder="1" applyAlignment="1">
      <alignment horizontal="center" vertical="center"/>
    </xf>
    <xf numFmtId="0" fontId="5" fillId="2" borderId="100" xfId="0" applyFont="1" applyFill="1" applyBorder="1" applyAlignment="1">
      <alignment horizontal="center" vertical="center"/>
    </xf>
    <xf numFmtId="0" fontId="13" fillId="0" borderId="40" xfId="0" applyFont="1" applyBorder="1" applyAlignment="1">
      <alignment horizontal="right" vertical="center" wrapText="1"/>
    </xf>
    <xf numFmtId="0" fontId="13" fillId="16" borderId="13" xfId="0" applyFont="1" applyFill="1" applyBorder="1" applyAlignment="1">
      <alignment vertical="center" wrapText="1"/>
    </xf>
    <xf numFmtId="0" fontId="13" fillId="16" borderId="111" xfId="0" applyFont="1" applyFill="1" applyBorder="1" applyAlignment="1">
      <alignment vertical="center" wrapText="1"/>
    </xf>
    <xf numFmtId="0" fontId="14" fillId="2" borderId="1" xfId="0" applyFont="1" applyFill="1" applyBorder="1" applyAlignment="1">
      <alignment vertical="center" wrapText="1"/>
    </xf>
    <xf numFmtId="0" fontId="26" fillId="0" borderId="60" xfId="0" applyFont="1" applyBorder="1" applyAlignment="1">
      <alignment horizontal="left" vertical="top" wrapText="1"/>
    </xf>
    <xf numFmtId="1" fontId="14" fillId="3" borderId="40" xfId="0" applyNumberFormat="1" applyFont="1" applyFill="1" applyBorder="1" applyAlignment="1">
      <alignment horizontal="center" vertical="center" readingOrder="1"/>
    </xf>
    <xf numFmtId="0" fontId="26" fillId="0" borderId="39" xfId="0" applyFont="1" applyBorder="1" applyAlignment="1">
      <alignment vertical="top" wrapText="1"/>
    </xf>
    <xf numFmtId="0" fontId="26" fillId="0" borderId="60" xfId="0" applyFont="1" applyBorder="1" applyAlignment="1">
      <alignment vertical="center" wrapText="1"/>
    </xf>
    <xf numFmtId="0" fontId="14" fillId="2" borderId="1" xfId="0" applyFont="1" applyFill="1" applyBorder="1" applyAlignment="1">
      <alignment vertical="top" wrapText="1"/>
    </xf>
    <xf numFmtId="0" fontId="5" fillId="2" borderId="42" xfId="0" applyFont="1" applyFill="1" applyBorder="1" applyAlignment="1">
      <alignment horizontal="center" vertical="center"/>
    </xf>
    <xf numFmtId="0" fontId="5" fillId="2" borderId="157" xfId="0" applyFont="1" applyFill="1" applyBorder="1" applyAlignment="1">
      <alignment horizontal="left"/>
    </xf>
    <xf numFmtId="0" fontId="5" fillId="2" borderId="158" xfId="0" applyFont="1" applyFill="1" applyBorder="1" applyAlignment="1">
      <alignment horizontal="left"/>
    </xf>
    <xf numFmtId="0" fontId="5" fillId="2" borderId="55" xfId="0" applyFont="1" applyFill="1" applyBorder="1" applyAlignment="1">
      <alignment horizontal="left"/>
    </xf>
    <xf numFmtId="0" fontId="13" fillId="2" borderId="40" xfId="0" applyFont="1" applyFill="1" applyBorder="1" applyAlignment="1">
      <alignment horizontal="center" vertical="center"/>
    </xf>
    <xf numFmtId="0" fontId="5" fillId="2" borderId="144" xfId="0" applyFont="1" applyFill="1" applyBorder="1" applyAlignment="1">
      <alignment horizontal="left"/>
    </xf>
    <xf numFmtId="0" fontId="5" fillId="2" borderId="145" xfId="0" applyFont="1" applyFill="1" applyBorder="1" applyAlignment="1">
      <alignment horizontal="left"/>
    </xf>
    <xf numFmtId="0" fontId="5" fillId="2" borderId="146" xfId="0" applyFont="1" applyFill="1" applyBorder="1" applyAlignment="1">
      <alignment horizontal="left"/>
    </xf>
    <xf numFmtId="0" fontId="14" fillId="0" borderId="92" xfId="0" applyFont="1" applyBorder="1" applyAlignment="1">
      <alignment horizontal="center" vertical="center" wrapText="1"/>
    </xf>
    <xf numFmtId="0" fontId="9" fillId="2" borderId="1" xfId="0" applyFont="1" applyFill="1" applyBorder="1"/>
    <xf numFmtId="0" fontId="9" fillId="2" borderId="100" xfId="0" applyFont="1" applyFill="1" applyBorder="1"/>
    <xf numFmtId="0" fontId="9" fillId="2" borderId="51" xfId="0" applyFont="1" applyFill="1" applyBorder="1"/>
    <xf numFmtId="0" fontId="14" fillId="0" borderId="190" xfId="0" applyFont="1" applyBorder="1" applyAlignment="1">
      <alignment vertical="center" wrapText="1"/>
    </xf>
    <xf numFmtId="0" fontId="9" fillId="2" borderId="1" xfId="0" applyFont="1" applyFill="1" applyBorder="1" applyAlignment="1">
      <alignment horizontal="center" vertical="center"/>
    </xf>
    <xf numFmtId="0" fontId="14" fillId="2" borderId="1" xfId="0" applyFont="1" applyFill="1" applyBorder="1" applyAlignment="1">
      <alignment horizontal="center" vertical="center"/>
    </xf>
    <xf numFmtId="0" fontId="6" fillId="0" borderId="40" xfId="0" applyFont="1" applyBorder="1" applyAlignment="1">
      <alignment horizontal="center" vertical="center" wrapText="1"/>
    </xf>
    <xf numFmtId="0" fontId="6" fillId="0" borderId="40" xfId="0" applyFont="1" applyBorder="1" applyAlignment="1">
      <alignment horizontal="right" vertical="center" wrapText="1"/>
    </xf>
    <xf numFmtId="0" fontId="6" fillId="0" borderId="41" xfId="0" applyFont="1" applyBorder="1" applyAlignment="1">
      <alignment horizontal="center" vertical="center" wrapText="1"/>
    </xf>
    <xf numFmtId="0" fontId="31" fillId="3" borderId="182" xfId="0" applyFont="1" applyFill="1" applyBorder="1" applyAlignment="1">
      <alignment horizontal="center" vertical="center" readingOrder="1"/>
    </xf>
    <xf numFmtId="0" fontId="31" fillId="3" borderId="184" xfId="0" applyFont="1" applyFill="1" applyBorder="1" applyAlignment="1">
      <alignment horizontal="center" vertical="center" wrapText="1" readingOrder="1"/>
    </xf>
    <xf numFmtId="0" fontId="15" fillId="0" borderId="40" xfId="0" applyFont="1" applyBorder="1" applyAlignment="1">
      <alignment horizontal="left" vertical="top" wrapText="1" readingOrder="1"/>
    </xf>
    <xf numFmtId="0" fontId="31" fillId="3" borderId="188" xfId="0" applyFont="1" applyFill="1" applyBorder="1" applyAlignment="1">
      <alignment horizontal="center" vertical="center" wrapText="1" readingOrder="1"/>
    </xf>
    <xf numFmtId="0" fontId="15" fillId="0" borderId="60" xfId="0" applyFont="1" applyBorder="1" applyAlignment="1">
      <alignment vertical="center" wrapText="1"/>
    </xf>
    <xf numFmtId="0" fontId="31" fillId="3" borderId="40" xfId="0" applyFont="1" applyFill="1" applyBorder="1" applyAlignment="1">
      <alignment horizontal="center" vertical="center" wrapText="1"/>
    </xf>
    <xf numFmtId="0" fontId="15" fillId="0" borderId="59" xfId="0" applyFont="1" applyBorder="1" applyAlignment="1">
      <alignment vertical="top" wrapText="1"/>
    </xf>
    <xf numFmtId="0" fontId="14" fillId="3" borderId="233" xfId="0" applyFont="1" applyFill="1" applyBorder="1" applyAlignment="1">
      <alignment horizontal="center" vertical="center" wrapText="1"/>
    </xf>
    <xf numFmtId="0" fontId="14" fillId="3" borderId="234" xfId="0" applyFont="1" applyFill="1" applyBorder="1" applyAlignment="1">
      <alignment horizontal="center" vertical="center" wrapText="1"/>
    </xf>
    <xf numFmtId="0" fontId="14" fillId="3" borderId="126" xfId="0" applyFont="1" applyFill="1" applyBorder="1" applyAlignment="1">
      <alignment horizontal="center" vertical="top" wrapText="1"/>
    </xf>
    <xf numFmtId="0" fontId="14" fillId="3" borderId="128" xfId="0" applyFont="1" applyFill="1" applyBorder="1" applyAlignment="1">
      <alignment horizontal="center" vertical="top" wrapText="1"/>
    </xf>
    <xf numFmtId="0" fontId="15" fillId="0" borderId="92" xfId="0" applyFont="1" applyBorder="1" applyAlignment="1">
      <alignment vertical="top" wrapText="1"/>
    </xf>
    <xf numFmtId="0" fontId="14" fillId="3" borderId="61" xfId="0" applyFont="1" applyFill="1" applyBorder="1" applyAlignment="1">
      <alignment horizontal="center" vertical="top" wrapText="1"/>
    </xf>
    <xf numFmtId="0" fontId="14" fillId="3" borderId="128" xfId="0" applyFont="1" applyFill="1" applyBorder="1" applyAlignment="1">
      <alignment vertical="center" wrapText="1"/>
    </xf>
    <xf numFmtId="0" fontId="13" fillId="0" borderId="235" xfId="0" applyFont="1" applyBorder="1" applyAlignment="1">
      <alignment horizontal="center" vertical="center" wrapText="1"/>
    </xf>
    <xf numFmtId="0" fontId="15" fillId="0" borderId="215" xfId="0" applyFont="1" applyBorder="1" applyAlignment="1">
      <alignment horizontal="center" vertical="center" wrapText="1"/>
    </xf>
    <xf numFmtId="0" fontId="13" fillId="0" borderId="99" xfId="0" applyFont="1" applyBorder="1" applyAlignment="1">
      <alignment horizontal="center" vertical="center" wrapText="1"/>
    </xf>
    <xf numFmtId="0" fontId="15" fillId="2" borderId="1" xfId="0" applyFont="1" applyFill="1" applyBorder="1" applyAlignment="1">
      <alignment horizontal="center" vertical="center" wrapText="1"/>
    </xf>
    <xf numFmtId="0" fontId="60" fillId="0" borderId="0" xfId="0" applyFont="1" applyAlignment="1">
      <alignment horizontal="left" vertical="center" readingOrder="1"/>
    </xf>
    <xf numFmtId="0" fontId="15" fillId="2" borderId="1" xfId="0" applyFont="1" applyFill="1" applyBorder="1" applyAlignment="1">
      <alignment horizontal="left" vertical="top"/>
    </xf>
    <xf numFmtId="0" fontId="13" fillId="0" borderId="40" xfId="0" applyFont="1" applyBorder="1" applyAlignment="1">
      <alignment wrapText="1"/>
    </xf>
    <xf numFmtId="0" fontId="15" fillId="0" borderId="40" xfId="0" applyFont="1" applyBorder="1"/>
    <xf numFmtId="0" fontId="15" fillId="0" borderId="40" xfId="0" applyFont="1" applyBorder="1" applyAlignment="1">
      <alignment wrapText="1"/>
    </xf>
    <xf numFmtId="0" fontId="15" fillId="0" borderId="7" xfId="0" applyFont="1" applyBorder="1" applyAlignment="1">
      <alignment vertical="center" wrapText="1"/>
    </xf>
    <xf numFmtId="164" fontId="13" fillId="2" borderId="61" xfId="0" applyNumberFormat="1" applyFont="1" applyFill="1" applyBorder="1" applyAlignment="1">
      <alignment horizontal="center" vertical="top"/>
    </xf>
    <xf numFmtId="0" fontId="15" fillId="0" borderId="0" xfId="0" applyFont="1" applyAlignment="1">
      <alignment vertical="top" wrapText="1"/>
    </xf>
    <xf numFmtId="0" fontId="15" fillId="0" borderId="0" xfId="0" applyFont="1" applyAlignment="1">
      <alignment horizontal="center" vertical="center" wrapText="1"/>
    </xf>
    <xf numFmtId="164" fontId="13" fillId="2" borderId="1" xfId="0" applyNumberFormat="1" applyFont="1" applyFill="1" applyBorder="1" applyAlignment="1">
      <alignment vertical="center"/>
    </xf>
    <xf numFmtId="0" fontId="5" fillId="2" borderId="1" xfId="0" applyFont="1" applyFill="1" applyBorder="1" applyAlignment="1">
      <alignment horizontal="left" vertical="top" wrapText="1"/>
    </xf>
    <xf numFmtId="0" fontId="8" fillId="4" borderId="46" xfId="0" applyFont="1" applyFill="1" applyBorder="1" applyAlignment="1">
      <alignment vertical="center"/>
    </xf>
    <xf numFmtId="164" fontId="8" fillId="4" borderId="48" xfId="0" applyNumberFormat="1" applyFont="1" applyFill="1" applyBorder="1" applyAlignment="1">
      <alignment horizontal="center" vertical="center"/>
    </xf>
    <xf numFmtId="0" fontId="30" fillId="2" borderId="1" xfId="0" applyFont="1" applyFill="1" applyBorder="1" applyAlignment="1">
      <alignment horizontal="left" vertical="top"/>
    </xf>
    <xf numFmtId="3" fontId="6" fillId="2" borderId="48" xfId="0" applyNumberFormat="1" applyFont="1" applyFill="1" applyBorder="1" applyAlignment="1">
      <alignment horizontal="center" vertical="center"/>
    </xf>
    <xf numFmtId="0" fontId="13" fillId="2" borderId="40" xfId="0" applyFont="1" applyFill="1" applyBorder="1" applyAlignment="1">
      <alignment wrapText="1"/>
    </xf>
    <xf numFmtId="0" fontId="13" fillId="0" borderId="73" xfId="0" applyFont="1" applyBorder="1" applyAlignment="1">
      <alignment horizontal="center"/>
    </xf>
    <xf numFmtId="0" fontId="13" fillId="0" borderId="92" xfId="0" applyFont="1" applyBorder="1" applyAlignment="1">
      <alignment horizontal="center"/>
    </xf>
    <xf numFmtId="0" fontId="13" fillId="0" borderId="81" xfId="0" applyFont="1" applyBorder="1" applyAlignment="1">
      <alignment horizontal="center"/>
    </xf>
    <xf numFmtId="0" fontId="9" fillId="2" borderId="1" xfId="0" applyFont="1" applyFill="1" applyBorder="1" applyAlignment="1">
      <alignment vertical="center"/>
    </xf>
    <xf numFmtId="0" fontId="47" fillId="3" borderId="43" xfId="0" applyFont="1" applyFill="1" applyBorder="1" applyAlignment="1">
      <alignment horizontal="center" vertical="center" wrapText="1" readingOrder="1"/>
    </xf>
    <xf numFmtId="0" fontId="14" fillId="3" borderId="44" xfId="0" applyFont="1" applyFill="1" applyBorder="1" applyAlignment="1">
      <alignment horizontal="center" vertical="center" wrapText="1" readingOrder="1"/>
    </xf>
    <xf numFmtId="0" fontId="5" fillId="2" borderId="143" xfId="0" applyFont="1" applyFill="1" applyBorder="1"/>
    <xf numFmtId="0" fontId="5" fillId="2" borderId="143" xfId="0" applyFont="1" applyFill="1" applyBorder="1" applyAlignment="1">
      <alignment horizontal="center"/>
    </xf>
    <xf numFmtId="0" fontId="9" fillId="2" borderId="14" xfId="0" applyFont="1" applyFill="1" applyBorder="1"/>
    <xf numFmtId="0" fontId="13" fillId="2" borderId="39" xfId="0" applyFont="1" applyFill="1" applyBorder="1" applyAlignment="1">
      <alignment horizontal="center"/>
    </xf>
    <xf numFmtId="0" fontId="23" fillId="0" borderId="40" xfId="0" applyFont="1" applyBorder="1" applyAlignment="1">
      <alignment horizontal="center" vertical="center" wrapText="1" readingOrder="1"/>
    </xf>
    <xf numFmtId="0" fontId="24" fillId="2" borderId="100" xfId="0" applyFont="1" applyFill="1" applyBorder="1" applyAlignment="1">
      <alignment vertical="center"/>
    </xf>
    <xf numFmtId="0" fontId="22" fillId="0" borderId="40" xfId="0" applyFont="1" applyBorder="1" applyAlignment="1">
      <alignment vertical="center" wrapText="1"/>
    </xf>
    <xf numFmtId="0" fontId="24" fillId="2" borderId="100" xfId="0" applyFont="1" applyFill="1" applyBorder="1" applyAlignment="1">
      <alignment horizontal="left" vertical="center"/>
    </xf>
    <xf numFmtId="0" fontId="24" fillId="2" borderId="1" xfId="0" applyFont="1" applyFill="1" applyBorder="1" applyAlignment="1">
      <alignment horizontal="left" vertical="center"/>
    </xf>
    <xf numFmtId="0" fontId="24" fillId="2" borderId="51" xfId="0" applyFont="1" applyFill="1" applyBorder="1" applyAlignment="1">
      <alignment horizontal="left" vertical="center"/>
    </xf>
    <xf numFmtId="0" fontId="24" fillId="2" borderId="1" xfId="0" applyFont="1" applyFill="1" applyBorder="1" applyAlignment="1">
      <alignment horizontal="center" vertical="center"/>
    </xf>
    <xf numFmtId="0" fontId="24" fillId="0" borderId="0" xfId="0" applyFont="1" applyAlignment="1">
      <alignment horizontal="center" vertical="center"/>
    </xf>
    <xf numFmtId="0" fontId="47" fillId="3" borderId="40" xfId="0" applyFont="1" applyFill="1" applyBorder="1" applyAlignment="1">
      <alignment horizontal="center" vertical="center" wrapText="1"/>
    </xf>
    <xf numFmtId="0" fontId="47" fillId="3" borderId="124" xfId="0" applyFont="1" applyFill="1" applyBorder="1" applyAlignment="1">
      <alignment horizontal="center" vertical="center" wrapText="1"/>
    </xf>
    <xf numFmtId="0" fontId="19" fillId="3" borderId="41" xfId="0" applyFont="1" applyFill="1" applyBorder="1" applyAlignment="1">
      <alignment horizontal="center" vertical="center" wrapText="1"/>
    </xf>
    <xf numFmtId="0" fontId="13" fillId="0" borderId="40" xfId="0" applyFont="1" applyBorder="1" applyAlignment="1">
      <alignment vertical="center" wrapText="1"/>
    </xf>
    <xf numFmtId="0" fontId="15" fillId="0" borderId="79" xfId="0" applyFont="1" applyBorder="1" applyAlignment="1">
      <alignment horizontal="left" vertical="top" wrapText="1"/>
    </xf>
    <xf numFmtId="0" fontId="15" fillId="0" borderId="92" xfId="0" applyFont="1" applyBorder="1" applyAlignment="1">
      <alignment horizontal="left" vertical="top" wrapText="1"/>
    </xf>
    <xf numFmtId="0" fontId="26" fillId="0" borderId="91" xfId="0" applyFont="1" applyBorder="1" applyAlignment="1">
      <alignment vertical="top" wrapText="1"/>
    </xf>
    <xf numFmtId="0" fontId="15" fillId="0" borderId="91" xfId="0" applyFont="1" applyBorder="1" applyAlignment="1">
      <alignment horizontal="left" vertical="center" wrapText="1"/>
    </xf>
    <xf numFmtId="0" fontId="15" fillId="0" borderId="43" xfId="0" applyFont="1" applyBorder="1" applyAlignment="1">
      <alignment vertical="top" wrapText="1"/>
    </xf>
    <xf numFmtId="1" fontId="49" fillId="0" borderId="43" xfId="0" applyNumberFormat="1" applyFont="1" applyBorder="1" applyAlignment="1">
      <alignment horizontal="center" readingOrder="1"/>
    </xf>
    <xf numFmtId="1" fontId="49" fillId="0" borderId="44" xfId="0" applyNumberFormat="1" applyFont="1" applyBorder="1" applyAlignment="1">
      <alignment horizontal="center" readingOrder="1"/>
    </xf>
    <xf numFmtId="1" fontId="49" fillId="2" borderId="1" xfId="0" applyNumberFormat="1" applyFont="1" applyFill="1" applyBorder="1" applyAlignment="1">
      <alignment horizontal="center" readingOrder="1"/>
    </xf>
    <xf numFmtId="0" fontId="61" fillId="3" borderId="41" xfId="0" applyFont="1" applyFill="1" applyBorder="1" applyAlignment="1">
      <alignment horizontal="center" vertical="center" wrapText="1"/>
    </xf>
    <xf numFmtId="0" fontId="5" fillId="0" borderId="39" xfId="0" applyFont="1" applyBorder="1" applyAlignment="1">
      <alignment horizontal="center"/>
    </xf>
    <xf numFmtId="0" fontId="47" fillId="3" borderId="125" xfId="0" applyFont="1" applyFill="1" applyBorder="1" applyAlignment="1">
      <alignment horizontal="center" vertical="center" wrapText="1"/>
    </xf>
    <xf numFmtId="0" fontId="47" fillId="3" borderId="127" xfId="0" applyFont="1" applyFill="1" applyBorder="1" applyAlignment="1">
      <alignment horizontal="center" vertical="center" wrapText="1"/>
    </xf>
    <xf numFmtId="0" fontId="47" fillId="3" borderId="227" xfId="0" applyFont="1" applyFill="1" applyBorder="1" applyAlignment="1">
      <alignment horizontal="center" vertical="center" wrapText="1"/>
    </xf>
    <xf numFmtId="0" fontId="5" fillId="0" borderId="42" xfId="0" applyFont="1" applyBorder="1"/>
    <xf numFmtId="1" fontId="26" fillId="2" borderId="1" xfId="0" applyNumberFormat="1" applyFont="1" applyFill="1" applyBorder="1" applyAlignment="1">
      <alignment horizontal="center" vertical="center" readingOrder="1"/>
    </xf>
    <xf numFmtId="0" fontId="5" fillId="2" borderId="1" xfId="0" applyFont="1" applyFill="1" applyBorder="1" applyAlignment="1">
      <alignment horizontal="right"/>
    </xf>
    <xf numFmtId="0" fontId="5" fillId="2" borderId="143" xfId="0" applyFont="1" applyFill="1" applyBorder="1" applyAlignment="1">
      <alignment horizontal="center" vertical="center"/>
    </xf>
    <xf numFmtId="0" fontId="5" fillId="2" borderId="14" xfId="0" applyFont="1" applyFill="1" applyBorder="1" applyAlignment="1">
      <alignment horizontal="center"/>
    </xf>
    <xf numFmtId="0" fontId="13" fillId="2" borderId="39" xfId="0" applyFont="1" applyFill="1" applyBorder="1"/>
    <xf numFmtId="0" fontId="22" fillId="0" borderId="60" xfId="0" applyFont="1" applyBorder="1" applyAlignment="1">
      <alignment horizontal="center" vertical="center" wrapText="1"/>
    </xf>
    <xf numFmtId="0" fontId="22" fillId="0" borderId="98" xfId="0" applyFont="1" applyBorder="1" applyAlignment="1">
      <alignment horizontal="center" vertical="center" wrapText="1"/>
    </xf>
    <xf numFmtId="0" fontId="5" fillId="2" borderId="115" xfId="0" applyFont="1" applyFill="1" applyBorder="1"/>
    <xf numFmtId="0" fontId="22" fillId="0" borderId="59" xfId="0" applyFont="1" applyBorder="1" applyAlignment="1">
      <alignment horizontal="right" vertical="center" wrapText="1"/>
    </xf>
    <xf numFmtId="0" fontId="5" fillId="2" borderId="122" xfId="0" applyFont="1" applyFill="1" applyBorder="1" applyAlignment="1">
      <alignment vertical="center"/>
    </xf>
    <xf numFmtId="0" fontId="14" fillId="3" borderId="182" xfId="0" applyFont="1" applyFill="1" applyBorder="1" applyAlignment="1">
      <alignment horizontal="center" vertical="center" wrapText="1" readingOrder="1"/>
    </xf>
    <xf numFmtId="0" fontId="14" fillId="3" borderId="125" xfId="0" applyFont="1" applyFill="1" applyBorder="1" applyAlignment="1">
      <alignment horizontal="center" vertical="center" wrapText="1" readingOrder="1"/>
    </xf>
    <xf numFmtId="0" fontId="14" fillId="3" borderId="184" xfId="0" applyFont="1" applyFill="1" applyBorder="1" applyAlignment="1">
      <alignment horizontal="center" vertical="center" wrapText="1" readingOrder="1"/>
    </xf>
    <xf numFmtId="0" fontId="14" fillId="3" borderId="127" xfId="0" applyFont="1" applyFill="1" applyBorder="1" applyAlignment="1">
      <alignment horizontal="center" vertical="center" wrapText="1" readingOrder="1"/>
    </xf>
    <xf numFmtId="0" fontId="14" fillId="3" borderId="188" xfId="0" applyFont="1" applyFill="1" applyBorder="1" applyAlignment="1">
      <alignment horizontal="center" vertical="center" wrapText="1" readingOrder="1"/>
    </xf>
    <xf numFmtId="0" fontId="14" fillId="3" borderId="227" xfId="0" applyFont="1" applyFill="1" applyBorder="1" applyAlignment="1">
      <alignment horizontal="center" vertical="center" wrapText="1" readingOrder="1"/>
    </xf>
    <xf numFmtId="0" fontId="49" fillId="0" borderId="43" xfId="0" applyFont="1" applyBorder="1" applyAlignment="1">
      <alignment horizontal="center" vertical="center" readingOrder="1"/>
    </xf>
    <xf numFmtId="0" fontId="26" fillId="0" borderId="43" xfId="0" applyFont="1" applyBorder="1" applyAlignment="1">
      <alignment horizontal="center" vertical="center" readingOrder="1"/>
    </xf>
    <xf numFmtId="0" fontId="26" fillId="0" borderId="160" xfId="0" applyFont="1" applyBorder="1" applyAlignment="1">
      <alignment horizontal="left" vertical="top" wrapText="1" readingOrder="1"/>
    </xf>
    <xf numFmtId="0" fontId="49" fillId="0" borderId="44" xfId="0" applyFont="1" applyBorder="1" applyAlignment="1">
      <alignment horizontal="center" vertical="center" readingOrder="1"/>
    </xf>
    <xf numFmtId="0" fontId="26" fillId="2" borderId="1" xfId="0" applyFont="1" applyFill="1" applyBorder="1" applyAlignment="1">
      <alignment horizontal="left" vertical="top" wrapText="1" readingOrder="1"/>
    </xf>
    <xf numFmtId="0" fontId="49" fillId="2" borderId="1" xfId="0" applyFont="1" applyFill="1" applyBorder="1" applyAlignment="1">
      <alignment horizontal="center" vertical="center" readingOrder="1"/>
    </xf>
    <xf numFmtId="0" fontId="26" fillId="2" borderId="1" xfId="0" applyFont="1" applyFill="1" applyBorder="1" applyAlignment="1">
      <alignment horizontal="center" vertical="center" readingOrder="1"/>
    </xf>
    <xf numFmtId="0" fontId="6" fillId="2" borderId="101" xfId="0" applyFont="1" applyFill="1" applyBorder="1" applyAlignment="1">
      <alignment horizontal="center" vertical="center"/>
    </xf>
    <xf numFmtId="0" fontId="5" fillId="2" borderId="86" xfId="0" applyFont="1" applyFill="1" applyBorder="1" applyAlignment="1">
      <alignment horizontal="left" vertical="center"/>
    </xf>
    <xf numFmtId="0" fontId="6" fillId="2" borderId="39" xfId="0" applyFont="1" applyFill="1" applyBorder="1" applyAlignment="1">
      <alignment vertical="center"/>
    </xf>
    <xf numFmtId="1" fontId="14" fillId="3" borderId="25" xfId="0" applyNumberFormat="1" applyFont="1" applyFill="1" applyBorder="1" applyAlignment="1">
      <alignment horizontal="center" vertical="center" readingOrder="1"/>
    </xf>
    <xf numFmtId="0" fontId="31" fillId="3" borderId="124" xfId="0" applyFont="1" applyFill="1" applyBorder="1" applyAlignment="1">
      <alignment horizontal="center" vertical="center" wrapText="1" readingOrder="1"/>
    </xf>
    <xf numFmtId="0" fontId="14" fillId="3" borderId="124" xfId="0" applyFont="1" applyFill="1" applyBorder="1" applyAlignment="1">
      <alignment horizontal="center" vertical="center" wrapText="1" readingOrder="1"/>
    </xf>
    <xf numFmtId="0" fontId="31" fillId="3" borderId="126" xfId="0" applyFont="1" applyFill="1" applyBorder="1" applyAlignment="1">
      <alignment horizontal="center" vertical="center" wrapText="1" readingOrder="1"/>
    </xf>
    <xf numFmtId="0" fontId="14" fillId="3" borderId="126" xfId="0" applyFont="1" applyFill="1" applyBorder="1" applyAlignment="1">
      <alignment horizontal="center" vertical="center" wrapText="1" readingOrder="1"/>
    </xf>
    <xf numFmtId="0" fontId="31" fillId="3" borderId="128" xfId="0" applyFont="1" applyFill="1" applyBorder="1" applyAlignment="1">
      <alignment horizontal="center" vertical="center" wrapText="1" readingOrder="1"/>
    </xf>
    <xf numFmtId="0" fontId="14" fillId="3" borderId="128" xfId="0" applyFont="1" applyFill="1" applyBorder="1" applyAlignment="1">
      <alignment horizontal="center" vertical="center" wrapText="1" readingOrder="1"/>
    </xf>
    <xf numFmtId="0" fontId="26" fillId="0" borderId="44" xfId="0" applyFont="1" applyBorder="1" applyAlignment="1">
      <alignment horizontal="center" vertical="center" readingOrder="1"/>
    </xf>
    <xf numFmtId="0" fontId="9" fillId="2" borderId="1" xfId="0" applyFont="1" applyFill="1" applyBorder="1" applyAlignment="1">
      <alignment horizontal="center"/>
    </xf>
    <xf numFmtId="0" fontId="6" fillId="2" borderId="101" xfId="0" applyFont="1" applyFill="1" applyBorder="1" applyAlignment="1">
      <alignment horizontal="center"/>
    </xf>
    <xf numFmtId="0" fontId="13" fillId="0" borderId="60" xfId="0" applyFont="1" applyBorder="1" applyAlignment="1">
      <alignment horizontal="right" vertical="center" wrapText="1"/>
    </xf>
    <xf numFmtId="0" fontId="6" fillId="2" borderId="39" xfId="0" applyFont="1" applyFill="1" applyBorder="1" applyAlignment="1">
      <alignment horizontal="center"/>
    </xf>
    <xf numFmtId="0" fontId="5" fillId="2" borderId="39" xfId="0" applyFont="1" applyFill="1" applyBorder="1" applyAlignment="1">
      <alignment horizontal="center"/>
    </xf>
    <xf numFmtId="1" fontId="14" fillId="3" borderId="61" xfId="0" applyNumberFormat="1" applyFont="1" applyFill="1" applyBorder="1" applyAlignment="1">
      <alignment horizontal="center" vertical="center" readingOrder="1"/>
    </xf>
    <xf numFmtId="0" fontId="26" fillId="0" borderId="73" xfId="0" applyFont="1" applyBorder="1" applyAlignment="1">
      <alignment vertical="center" wrapText="1"/>
    </xf>
    <xf numFmtId="1" fontId="14" fillId="0" borderId="79" xfId="0" applyNumberFormat="1" applyFont="1" applyBorder="1" applyAlignment="1">
      <alignment horizontal="left" vertical="center" readingOrder="1"/>
    </xf>
    <xf numFmtId="0" fontId="6" fillId="2" borderId="42" xfId="0" applyFont="1" applyFill="1" applyBorder="1" applyAlignment="1">
      <alignment horizontal="center"/>
    </xf>
    <xf numFmtId="1" fontId="13" fillId="0" borderId="231" xfId="0" applyNumberFormat="1" applyFont="1" applyBorder="1" applyAlignment="1">
      <alignment horizontal="center" vertical="center" wrapText="1"/>
    </xf>
    <xf numFmtId="0" fontId="5" fillId="2" borderId="157" xfId="0" applyFont="1" applyFill="1" applyBorder="1" applyAlignment="1">
      <alignment horizontal="left" vertical="center"/>
    </xf>
    <xf numFmtId="0" fontId="5" fillId="2" borderId="158" xfId="0" applyFont="1" applyFill="1" applyBorder="1" applyAlignment="1">
      <alignment horizontal="left" vertical="center"/>
    </xf>
    <xf numFmtId="0" fontId="5" fillId="2" borderId="55" xfId="0" applyFont="1" applyFill="1" applyBorder="1" applyAlignment="1">
      <alignment horizontal="left" vertical="center"/>
    </xf>
    <xf numFmtId="0" fontId="15" fillId="2" borderId="47" xfId="0" applyFont="1" applyFill="1" applyBorder="1" applyAlignment="1">
      <alignment horizontal="center" vertical="center"/>
    </xf>
    <xf numFmtId="0" fontId="13" fillId="2" borderId="47" xfId="0" applyFont="1" applyFill="1" applyBorder="1" applyAlignment="1">
      <alignment horizontal="center" vertical="center"/>
    </xf>
    <xf numFmtId="0" fontId="58" fillId="2" borderId="1" xfId="0" applyFont="1" applyFill="1" applyBorder="1" applyAlignment="1">
      <alignment horizontal="center"/>
    </xf>
    <xf numFmtId="0" fontId="5" fillId="2" borderId="61" xfId="0" applyFont="1" applyFill="1" applyBorder="1"/>
    <xf numFmtId="0" fontId="5" fillId="2" borderId="70" xfId="0" applyFont="1" applyFill="1" applyBorder="1" applyAlignment="1">
      <alignment vertical="center"/>
    </xf>
    <xf numFmtId="0" fontId="13" fillId="0" borderId="40" xfId="0" applyFont="1" applyBorder="1" applyAlignment="1">
      <alignment horizontal="center" vertical="center" readingOrder="1"/>
    </xf>
    <xf numFmtId="0" fontId="14" fillId="3" borderId="246" xfId="0" applyFont="1" applyFill="1" applyBorder="1" applyAlignment="1">
      <alignment horizontal="center" vertical="center" readingOrder="1"/>
    </xf>
    <xf numFmtId="1" fontId="14" fillId="3" borderId="124" xfId="0" applyNumberFormat="1" applyFont="1" applyFill="1" applyBorder="1" applyAlignment="1">
      <alignment horizontal="center" vertical="center" wrapText="1"/>
    </xf>
    <xf numFmtId="0" fontId="26" fillId="0" borderId="40" xfId="0" applyFont="1" applyBorder="1" applyAlignment="1">
      <alignment horizontal="center" vertical="center" readingOrder="1"/>
    </xf>
    <xf numFmtId="1" fontId="13" fillId="0" borderId="40" xfId="0" applyNumberFormat="1" applyFont="1" applyBorder="1" applyAlignment="1">
      <alignment horizontal="center" vertical="center" readingOrder="1"/>
    </xf>
    <xf numFmtId="0" fontId="64" fillId="0" borderId="0" xfId="0" applyFont="1" applyAlignment="1">
      <alignment vertical="center"/>
    </xf>
    <xf numFmtId="0" fontId="63" fillId="2" borderId="1" xfId="0" applyFont="1" applyFill="1" applyBorder="1" applyAlignment="1">
      <alignment horizontal="center" vertical="center"/>
    </xf>
    <xf numFmtId="0" fontId="64" fillId="2" borderId="1" xfId="0" applyFont="1" applyFill="1" applyBorder="1" applyAlignment="1">
      <alignment vertical="center"/>
    </xf>
    <xf numFmtId="3" fontId="8" fillId="3" borderId="40" xfId="0" applyNumberFormat="1" applyFont="1" applyFill="1" applyBorder="1" applyAlignment="1">
      <alignment horizontal="center" vertical="center"/>
    </xf>
    <xf numFmtId="0" fontId="8" fillId="0" borderId="0" xfId="0" applyFont="1" applyAlignment="1">
      <alignment horizontal="left" vertical="center" wrapText="1"/>
    </xf>
    <xf numFmtId="0" fontId="11" fillId="2" borderId="137" xfId="0" applyFont="1" applyFill="1" applyBorder="1" applyAlignment="1">
      <alignment horizontal="right" vertical="center"/>
    </xf>
    <xf numFmtId="0" fontId="6" fillId="2" borderId="137" xfId="0" applyFont="1" applyFill="1" applyBorder="1" applyAlignment="1">
      <alignment horizontal="right" vertical="center"/>
    </xf>
    <xf numFmtId="3" fontId="8" fillId="2" borderId="1" xfId="0" applyNumberFormat="1" applyFont="1" applyFill="1" applyBorder="1" applyAlignment="1">
      <alignment horizontal="center"/>
    </xf>
    <xf numFmtId="0" fontId="11" fillId="2" borderId="1" xfId="0" applyFont="1" applyFill="1" applyBorder="1" applyAlignment="1">
      <alignment horizontal="left" vertical="center" wrapText="1"/>
    </xf>
    <xf numFmtId="0" fontId="6" fillId="0" borderId="40" xfId="0" applyFont="1" applyBorder="1" applyAlignment="1">
      <alignment wrapText="1"/>
    </xf>
    <xf numFmtId="0" fontId="6" fillId="2" borderId="40" xfId="0" applyFont="1" applyFill="1" applyBorder="1" applyAlignment="1">
      <alignment horizontal="center" wrapText="1"/>
    </xf>
    <xf numFmtId="0" fontId="6" fillId="2" borderId="229" xfId="0" applyFont="1" applyFill="1" applyBorder="1" applyAlignment="1">
      <alignment horizontal="center" vertical="center" wrapText="1"/>
    </xf>
    <xf numFmtId="0" fontId="65" fillId="0" borderId="92" xfId="0" applyFont="1" applyBorder="1"/>
    <xf numFmtId="0" fontId="65" fillId="0" borderId="92" xfId="0" applyFont="1" applyBorder="1" applyAlignment="1">
      <alignment horizontal="center"/>
    </xf>
    <xf numFmtId="164" fontId="13" fillId="22" borderId="1" xfId="0" applyNumberFormat="1" applyFont="1" applyFill="1" applyBorder="1" applyAlignment="1">
      <alignment vertical="center"/>
    </xf>
    <xf numFmtId="0" fontId="65" fillId="0" borderId="40" xfId="0" applyFont="1" applyBorder="1"/>
    <xf numFmtId="0" fontId="65" fillId="0" borderId="40" xfId="0" applyFont="1" applyBorder="1" applyAlignment="1">
      <alignment horizontal="center"/>
    </xf>
    <xf numFmtId="164" fontId="13" fillId="22" borderId="1" xfId="0" applyNumberFormat="1" applyFont="1" applyFill="1" applyBorder="1" applyAlignment="1">
      <alignment horizontal="center" vertical="center"/>
    </xf>
    <xf numFmtId="0" fontId="65" fillId="0" borderId="91" xfId="0" applyFont="1" applyBorder="1"/>
    <xf numFmtId="0" fontId="13" fillId="0" borderId="92" xfId="0" applyFont="1" applyBorder="1" applyAlignment="1">
      <alignment vertical="top" wrapText="1"/>
    </xf>
    <xf numFmtId="0" fontId="15" fillId="0" borderId="71" xfId="0" applyFont="1" applyBorder="1" applyAlignment="1">
      <alignment horizontal="center" vertical="center"/>
    </xf>
    <xf numFmtId="0" fontId="13" fillId="0" borderId="40" xfId="0" applyFont="1" applyBorder="1" applyAlignment="1">
      <alignment vertical="top" wrapText="1"/>
    </xf>
    <xf numFmtId="0" fontId="15" fillId="0" borderId="59" xfId="0" applyFont="1" applyBorder="1" applyAlignment="1">
      <alignment horizontal="center" vertical="center"/>
    </xf>
    <xf numFmtId="164" fontId="13" fillId="2" borderId="66" xfId="0" applyNumberFormat="1" applyFont="1" applyFill="1" applyBorder="1" applyAlignment="1">
      <alignment horizontal="center"/>
    </xf>
    <xf numFmtId="0" fontId="15" fillId="0" borderId="62" xfId="0" applyFont="1" applyBorder="1" applyAlignment="1">
      <alignment horizontal="center" vertical="center"/>
    </xf>
    <xf numFmtId="0" fontId="15" fillId="0" borderId="71" xfId="0" applyFont="1" applyBorder="1" applyAlignment="1">
      <alignment horizontal="center" vertical="center" wrapText="1"/>
    </xf>
    <xf numFmtId="0" fontId="34" fillId="3" borderId="40" xfId="0" applyFont="1" applyFill="1" applyBorder="1" applyAlignment="1">
      <alignment horizontal="center" vertical="center" wrapText="1"/>
    </xf>
    <xf numFmtId="0" fontId="6" fillId="2" borderId="46" xfId="0" applyFont="1" applyFill="1" applyBorder="1"/>
    <xf numFmtId="164" fontId="6" fillId="2" borderId="48" xfId="0" applyNumberFormat="1" applyFont="1" applyFill="1" applyBorder="1" applyAlignment="1">
      <alignment horizontal="center"/>
    </xf>
    <xf numFmtId="0" fontId="15" fillId="2" borderId="1" xfId="0" applyFont="1" applyFill="1" applyBorder="1" applyAlignment="1">
      <alignment horizontal="left" vertical="center"/>
    </xf>
    <xf numFmtId="0" fontId="15" fillId="2" borderId="51" xfId="0" applyFont="1" applyFill="1" applyBorder="1" applyAlignment="1">
      <alignment horizontal="left" vertical="center"/>
    </xf>
    <xf numFmtId="0" fontId="13" fillId="0" borderId="179" xfId="0" applyFont="1" applyBorder="1" applyAlignment="1">
      <alignment horizontal="center" vertical="center" wrapText="1"/>
    </xf>
    <xf numFmtId="0" fontId="61" fillId="3" borderId="124" xfId="0" applyFont="1" applyFill="1" applyBorder="1" applyAlignment="1">
      <alignment horizontal="center" vertical="center" wrapText="1"/>
    </xf>
    <xf numFmtId="0" fontId="19" fillId="3" borderId="124" xfId="0" applyFont="1" applyFill="1" applyBorder="1" applyAlignment="1">
      <alignment horizontal="center" vertical="center" wrapText="1"/>
    </xf>
    <xf numFmtId="0" fontId="19" fillId="3" borderId="126" xfId="0" applyFont="1" applyFill="1" applyBorder="1" applyAlignment="1">
      <alignment horizontal="center" vertical="center" wrapText="1"/>
    </xf>
    <xf numFmtId="1" fontId="47" fillId="3" borderId="128" xfId="0" applyNumberFormat="1" applyFont="1" applyFill="1" applyBorder="1" applyAlignment="1">
      <alignment horizontal="center" vertical="center" readingOrder="1"/>
    </xf>
    <xf numFmtId="0" fontId="47" fillId="3" borderId="128" xfId="0" applyFont="1" applyFill="1" applyBorder="1" applyAlignment="1">
      <alignment horizontal="center" vertical="center"/>
    </xf>
    <xf numFmtId="0" fontId="14" fillId="3" borderId="227" xfId="0" applyFont="1" applyFill="1" applyBorder="1" applyAlignment="1">
      <alignment horizontal="center" vertical="center"/>
    </xf>
    <xf numFmtId="0" fontId="13" fillId="0" borderId="251" xfId="0" applyFont="1" applyBorder="1" applyAlignment="1">
      <alignment horizontal="center" vertical="center" wrapText="1"/>
    </xf>
    <xf numFmtId="0" fontId="13" fillId="0" borderId="252" xfId="0" applyFont="1" applyBorder="1" applyAlignment="1">
      <alignment horizontal="center" vertical="center" wrapText="1"/>
    </xf>
    <xf numFmtId="0" fontId="13" fillId="0" borderId="253" xfId="0" applyFont="1" applyBorder="1" applyAlignment="1">
      <alignment horizontal="center" vertical="center" wrapText="1"/>
    </xf>
    <xf numFmtId="0" fontId="15" fillId="2" borderId="100" xfId="0" applyFont="1" applyFill="1" applyBorder="1" applyAlignment="1">
      <alignment horizontal="center" vertical="center"/>
    </xf>
    <xf numFmtId="0" fontId="15" fillId="2" borderId="100" xfId="0" applyFont="1" applyFill="1" applyBorder="1" applyAlignment="1">
      <alignment horizontal="left" vertical="center"/>
    </xf>
    <xf numFmtId="0" fontId="15" fillId="2" borderId="39" xfId="0" applyFont="1" applyFill="1" applyBorder="1" applyAlignment="1">
      <alignment horizontal="center" vertical="center"/>
    </xf>
    <xf numFmtId="0" fontId="47" fillId="3" borderId="126" xfId="0" applyFont="1" applyFill="1" applyBorder="1" applyAlignment="1">
      <alignment horizontal="center" vertical="center" wrapText="1"/>
    </xf>
    <xf numFmtId="0" fontId="47" fillId="3" borderId="129" xfId="0" applyFont="1" applyFill="1" applyBorder="1" applyAlignment="1">
      <alignment horizontal="center" vertical="center" wrapText="1"/>
    </xf>
    <xf numFmtId="0" fontId="47" fillId="3" borderId="254" xfId="0" applyFont="1" applyFill="1" applyBorder="1" applyAlignment="1">
      <alignment horizontal="center" vertical="center" wrapText="1"/>
    </xf>
    <xf numFmtId="0" fontId="14" fillId="3" borderId="255" xfId="0" applyFont="1" applyFill="1" applyBorder="1" applyAlignment="1">
      <alignment horizontal="center" vertical="center" wrapText="1"/>
    </xf>
    <xf numFmtId="0" fontId="14" fillId="0" borderId="40" xfId="0" applyFont="1" applyBorder="1" applyAlignment="1">
      <alignment horizontal="center" vertical="center"/>
    </xf>
    <xf numFmtId="0" fontId="15" fillId="2" borderId="42" xfId="0" applyFont="1" applyFill="1" applyBorder="1" applyAlignment="1">
      <alignment horizontal="center" vertical="center"/>
    </xf>
    <xf numFmtId="0" fontId="24" fillId="0" borderId="0" xfId="0" applyFont="1" applyAlignment="1">
      <alignment horizontal="center"/>
    </xf>
    <xf numFmtId="164" fontId="22" fillId="0" borderId="0" xfId="0" applyNumberFormat="1" applyFont="1"/>
    <xf numFmtId="0" fontId="66" fillId="0" borderId="0" xfId="0" applyFont="1" applyAlignment="1">
      <alignment horizontal="left" readingOrder="1"/>
    </xf>
    <xf numFmtId="0" fontId="67" fillId="0" borderId="0" xfId="0" applyFont="1" applyAlignment="1">
      <alignment horizontal="left" readingOrder="1"/>
    </xf>
    <xf numFmtId="0" fontId="15" fillId="2" borderId="149" xfId="0" applyFont="1" applyFill="1" applyBorder="1" applyAlignment="1">
      <alignment horizontal="center"/>
    </xf>
    <xf numFmtId="0" fontId="15" fillId="2" borderId="256" xfId="0" applyFont="1" applyFill="1" applyBorder="1" applyAlignment="1">
      <alignment wrapText="1"/>
    </xf>
    <xf numFmtId="0" fontId="15" fillId="2" borderId="257" xfId="0" applyFont="1" applyFill="1" applyBorder="1" applyAlignment="1">
      <alignment wrapText="1"/>
    </xf>
    <xf numFmtId="0" fontId="15" fillId="2" borderId="113" xfId="0" applyFont="1" applyFill="1" applyBorder="1" applyAlignment="1">
      <alignment horizontal="center"/>
    </xf>
    <xf numFmtId="0" fontId="15" fillId="2" borderId="13" xfId="0" applyFont="1" applyFill="1" applyBorder="1" applyAlignment="1">
      <alignment wrapText="1"/>
    </xf>
    <xf numFmtId="0" fontId="15" fillId="2" borderId="258" xfId="0" applyFont="1" applyFill="1" applyBorder="1" applyAlignment="1">
      <alignment wrapText="1"/>
    </xf>
    <xf numFmtId="0" fontId="15" fillId="2" borderId="106" xfId="0" applyFont="1" applyFill="1" applyBorder="1" applyAlignment="1">
      <alignment horizontal="center"/>
    </xf>
    <xf numFmtId="0" fontId="15" fillId="2" borderId="259" xfId="0" applyFont="1" applyFill="1" applyBorder="1" applyAlignment="1">
      <alignment wrapText="1"/>
    </xf>
    <xf numFmtId="0" fontId="15" fillId="2" borderId="260" xfId="0" applyFont="1" applyFill="1" applyBorder="1" applyAlignment="1">
      <alignment wrapText="1"/>
    </xf>
    <xf numFmtId="0" fontId="0" fillId="0" borderId="0" xfId="0" applyAlignment="1">
      <alignment horizontal="left"/>
    </xf>
    <xf numFmtId="0" fontId="80" fillId="0" borderId="40" xfId="0" applyFont="1" applyBorder="1" applyAlignment="1">
      <alignment horizontal="left" vertical="top" wrapText="1" readingOrder="1"/>
    </xf>
    <xf numFmtId="0" fontId="14" fillId="3" borderId="79" xfId="0" applyFont="1" applyFill="1" applyBorder="1" applyAlignment="1">
      <alignment horizontal="center" vertical="center" readingOrder="1"/>
    </xf>
    <xf numFmtId="1" fontId="14" fillId="3" borderId="254" xfId="0" applyNumberFormat="1" applyFont="1" applyFill="1" applyBorder="1" applyAlignment="1">
      <alignment horizontal="center" vertical="center" wrapText="1"/>
    </xf>
    <xf numFmtId="0" fontId="14" fillId="3" borderId="254" xfId="0" applyFont="1" applyFill="1" applyBorder="1" applyAlignment="1">
      <alignment horizontal="center" vertical="center" readingOrder="1"/>
    </xf>
    <xf numFmtId="0" fontId="58" fillId="27" borderId="0" xfId="0" applyFont="1" applyFill="1" applyAlignment="1">
      <alignment horizontal="center"/>
    </xf>
    <xf numFmtId="0" fontId="62" fillId="27" borderId="0" xfId="0" applyFont="1" applyFill="1" applyAlignment="1">
      <alignment horizontal="center" vertical="center"/>
    </xf>
    <xf numFmtId="0" fontId="58" fillId="27" borderId="0" xfId="0" applyFont="1" applyFill="1" applyAlignment="1">
      <alignment horizontal="center" vertical="center"/>
    </xf>
    <xf numFmtId="0" fontId="81" fillId="27" borderId="0" xfId="0" applyFont="1" applyFill="1" applyAlignment="1">
      <alignment horizontal="center" vertical="center"/>
    </xf>
    <xf numFmtId="0" fontId="63" fillId="27" borderId="0" xfId="0" applyFont="1" applyFill="1" applyAlignment="1">
      <alignment horizontal="center" vertical="center"/>
    </xf>
    <xf numFmtId="0" fontId="82" fillId="28" borderId="84" xfId="0" applyFont="1" applyFill="1" applyBorder="1" applyAlignment="1">
      <alignment horizontal="center" vertical="center"/>
    </xf>
    <xf numFmtId="0" fontId="85" fillId="2" borderId="115" xfId="0" applyFont="1" applyFill="1" applyBorder="1" applyAlignment="1">
      <alignment horizontal="center" vertical="center"/>
    </xf>
    <xf numFmtId="0" fontId="88" fillId="17" borderId="40" xfId="0" applyFont="1" applyFill="1" applyBorder="1" applyAlignment="1">
      <alignment vertical="top" wrapText="1"/>
    </xf>
    <xf numFmtId="0" fontId="89" fillId="3" borderId="124" xfId="0" applyFont="1" applyFill="1" applyBorder="1" applyAlignment="1">
      <alignment horizontal="center" vertical="center" wrapText="1"/>
    </xf>
    <xf numFmtId="0" fontId="88" fillId="0" borderId="40" xfId="0" applyFont="1" applyBorder="1" applyAlignment="1">
      <alignment horizontal="left" vertical="top" wrapText="1"/>
    </xf>
    <xf numFmtId="0" fontId="89" fillId="3" borderId="125" xfId="0" applyFont="1" applyFill="1" applyBorder="1" applyAlignment="1">
      <alignment horizontal="center" vertical="center" wrapText="1"/>
    </xf>
    <xf numFmtId="0" fontId="89" fillId="3" borderId="128" xfId="0" applyFont="1" applyFill="1" applyBorder="1" applyAlignment="1">
      <alignment horizontal="center" vertical="center" wrapText="1"/>
    </xf>
    <xf numFmtId="0" fontId="89" fillId="3" borderId="227" xfId="0" applyFont="1" applyFill="1" applyBorder="1" applyAlignment="1">
      <alignment horizontal="center" vertical="center" wrapText="1"/>
    </xf>
    <xf numFmtId="0" fontId="85" fillId="2" borderId="245" xfId="0" applyFont="1" applyFill="1" applyBorder="1" applyAlignment="1">
      <alignment horizontal="center" vertical="center"/>
    </xf>
    <xf numFmtId="0" fontId="89" fillId="3" borderId="79" xfId="0" applyFont="1" applyFill="1" applyBorder="1" applyAlignment="1">
      <alignment horizontal="center" vertical="center" wrapText="1"/>
    </xf>
    <xf numFmtId="0" fontId="89" fillId="3" borderId="214" xfId="0" applyFont="1" applyFill="1" applyBorder="1" applyAlignment="1">
      <alignment horizontal="center" vertical="center" wrapText="1"/>
    </xf>
    <xf numFmtId="0" fontId="85" fillId="0" borderId="269" xfId="0" applyFont="1" applyBorder="1" applyAlignment="1">
      <alignment horizontal="center" vertical="center"/>
    </xf>
    <xf numFmtId="0" fontId="88" fillId="17" borderId="141" xfId="0" applyFont="1" applyFill="1" applyBorder="1" applyAlignment="1">
      <alignment vertical="top" wrapText="1"/>
    </xf>
    <xf numFmtId="0" fontId="90" fillId="30" borderId="254" xfId="0" applyFont="1" applyFill="1" applyBorder="1" applyAlignment="1">
      <alignment horizontal="center" vertical="center"/>
    </xf>
    <xf numFmtId="0" fontId="88" fillId="0" borderId="92" xfId="0" applyFont="1" applyBorder="1" applyAlignment="1">
      <alignment horizontal="left" vertical="top" wrapText="1"/>
    </xf>
    <xf numFmtId="0" fontId="90" fillId="30" borderId="125" xfId="0" applyFont="1" applyFill="1" applyBorder="1" applyAlignment="1">
      <alignment horizontal="center" vertical="center"/>
    </xf>
    <xf numFmtId="0" fontId="88" fillId="0" borderId="79" xfId="0" applyFont="1" applyBorder="1" applyAlignment="1">
      <alignment horizontal="left" vertical="top" wrapText="1"/>
    </xf>
    <xf numFmtId="0" fontId="89" fillId="3" borderId="129" xfId="0" applyFont="1" applyFill="1" applyBorder="1" applyAlignment="1">
      <alignment horizontal="center" vertical="center" wrapText="1"/>
    </xf>
    <xf numFmtId="0" fontId="89" fillId="3" borderId="130" xfId="0" applyFont="1" applyFill="1" applyBorder="1" applyAlignment="1">
      <alignment horizontal="center" vertical="center" wrapText="1"/>
    </xf>
    <xf numFmtId="0" fontId="85" fillId="2" borderId="122" xfId="0" applyFont="1" applyFill="1" applyBorder="1" applyAlignment="1">
      <alignment horizontal="center" vertical="center"/>
    </xf>
    <xf numFmtId="0" fontId="88" fillId="0" borderId="141" xfId="0" applyFont="1" applyBorder="1" applyAlignment="1">
      <alignment horizontal="left" vertical="top" wrapText="1"/>
    </xf>
    <xf numFmtId="0" fontId="89" fillId="3" borderId="254" xfId="0" applyFont="1" applyFill="1" applyBorder="1" applyAlignment="1">
      <alignment horizontal="center" vertical="center" wrapText="1"/>
    </xf>
    <xf numFmtId="0" fontId="85" fillId="2" borderId="39" xfId="0" applyFont="1" applyFill="1" applyBorder="1" applyAlignment="1">
      <alignment horizontal="center" vertical="center"/>
    </xf>
    <xf numFmtId="0" fontId="88" fillId="0" borderId="111" xfId="0" applyFont="1" applyBorder="1" applyAlignment="1">
      <alignment vertical="top" wrapText="1"/>
    </xf>
    <xf numFmtId="0" fontId="88" fillId="0" borderId="91" xfId="0" applyFont="1" applyBorder="1" applyAlignment="1">
      <alignment vertical="top" wrapText="1"/>
    </xf>
    <xf numFmtId="0" fontId="88" fillId="0" borderId="91" xfId="0" applyFont="1" applyBorder="1" applyAlignment="1">
      <alignment horizontal="left" vertical="top" wrapText="1"/>
    </xf>
    <xf numFmtId="0" fontId="7" fillId="0" borderId="64" xfId="0" applyFont="1" applyBorder="1"/>
    <xf numFmtId="0" fontId="7" fillId="0" borderId="67" xfId="0" applyFont="1" applyBorder="1"/>
    <xf numFmtId="0" fontId="7" fillId="0" borderId="68" xfId="0" applyFont="1" applyBorder="1"/>
    <xf numFmtId="0" fontId="7" fillId="0" borderId="71" xfId="0" applyFont="1" applyBorder="1"/>
    <xf numFmtId="0" fontId="7" fillId="0" borderId="73" xfId="0" applyFont="1" applyBorder="1"/>
    <xf numFmtId="164" fontId="13" fillId="2" borderId="62" xfId="0" applyNumberFormat="1" applyFont="1" applyFill="1" applyBorder="1" applyAlignment="1">
      <alignment horizontal="center" vertical="center"/>
    </xf>
    <xf numFmtId="0" fontId="7" fillId="0" borderId="240" xfId="0" applyFont="1" applyBorder="1"/>
    <xf numFmtId="0" fontId="5" fillId="2" borderId="240" xfId="0" applyFont="1" applyFill="1" applyBorder="1"/>
    <xf numFmtId="0" fontId="22" fillId="2" borderId="240" xfId="0" applyFont="1" applyFill="1" applyBorder="1" applyAlignment="1">
      <alignment horizontal="center" vertical="center" wrapText="1"/>
    </xf>
    <xf numFmtId="0" fontId="5" fillId="2" borderId="207" xfId="0" applyFont="1" applyFill="1" applyBorder="1" applyAlignment="1">
      <alignment horizontal="left"/>
    </xf>
    <xf numFmtId="0" fontId="88" fillId="0" borderId="111" xfId="0" applyFont="1" applyBorder="1" applyAlignment="1">
      <alignment horizontal="left" vertical="top" wrapText="1"/>
    </xf>
    <xf numFmtId="0" fontId="14" fillId="2" borderId="240" xfId="0" applyFont="1" applyFill="1" applyBorder="1" applyAlignment="1">
      <alignment horizontal="center" vertical="center" wrapText="1"/>
    </xf>
    <xf numFmtId="0" fontId="85" fillId="2" borderId="40" xfId="0" applyFont="1" applyFill="1" applyBorder="1" applyAlignment="1">
      <alignment horizontal="center" vertical="center"/>
    </xf>
    <xf numFmtId="0" fontId="87" fillId="0" borderId="142" xfId="0" applyFont="1" applyBorder="1"/>
    <xf numFmtId="0" fontId="93" fillId="0" borderId="0" xfId="0" applyFont="1"/>
    <xf numFmtId="0" fontId="87" fillId="0" borderId="85" xfId="0" applyFont="1" applyBorder="1"/>
    <xf numFmtId="0" fontId="80" fillId="0" borderId="60" xfId="0" applyFont="1" applyBorder="1" applyAlignment="1">
      <alignment horizontal="left" vertical="top" wrapText="1" readingOrder="1"/>
    </xf>
    <xf numFmtId="0" fontId="5" fillId="2" borderId="242" xfId="0" applyFont="1" applyFill="1" applyBorder="1" applyAlignment="1">
      <alignment horizontal="left" vertical="center"/>
    </xf>
    <xf numFmtId="0" fontId="5" fillId="2" borderId="240" xfId="0" applyFont="1" applyFill="1" applyBorder="1" applyAlignment="1">
      <alignment horizontal="left" vertical="center"/>
    </xf>
    <xf numFmtId="0" fontId="5" fillId="2" borderId="210" xfId="0" applyFont="1" applyFill="1" applyBorder="1" applyAlignment="1">
      <alignment horizontal="left" vertical="center"/>
    </xf>
    <xf numFmtId="0" fontId="5" fillId="2" borderId="240" xfId="0" applyFont="1" applyFill="1" applyBorder="1" applyAlignment="1">
      <alignment horizontal="center" vertical="center"/>
    </xf>
    <xf numFmtId="0" fontId="5" fillId="2" borderId="242" xfId="0" applyFont="1" applyFill="1" applyBorder="1" applyAlignment="1">
      <alignment horizontal="left"/>
    </xf>
    <xf numFmtId="0" fontId="5" fillId="2" borderId="240" xfId="0" applyFont="1" applyFill="1" applyBorder="1" applyAlignment="1">
      <alignment horizontal="left"/>
    </xf>
    <xf numFmtId="0" fontId="5" fillId="2" borderId="210" xfId="0" applyFont="1" applyFill="1" applyBorder="1" applyAlignment="1">
      <alignment horizontal="left"/>
    </xf>
    <xf numFmtId="0" fontId="80" fillId="0" borderId="91" xfId="0" applyFont="1" applyBorder="1" applyAlignment="1">
      <alignment horizontal="left" vertical="top" wrapText="1" readingOrder="1"/>
    </xf>
    <xf numFmtId="0" fontId="80" fillId="0" borderId="40" xfId="0" applyFont="1" applyBorder="1" applyAlignment="1">
      <alignment horizontal="left" vertical="top" wrapText="1"/>
    </xf>
    <xf numFmtId="0" fontId="88" fillId="0" borderId="40" xfId="0" applyFont="1" applyBorder="1" applyAlignment="1">
      <alignment vertical="top" wrapText="1"/>
    </xf>
    <xf numFmtId="0" fontId="5" fillId="2" borderId="240" xfId="0" applyFont="1" applyFill="1" applyBorder="1" applyAlignment="1">
      <alignment vertical="center"/>
    </xf>
    <xf numFmtId="0" fontId="14" fillId="30" borderId="126" xfId="0" applyFont="1" applyFill="1" applyBorder="1" applyAlignment="1">
      <alignment horizontal="center" vertical="center" wrapText="1"/>
    </xf>
    <xf numFmtId="0" fontId="88" fillId="2" borderId="13" xfId="0" applyFont="1" applyFill="1" applyBorder="1" applyAlignment="1">
      <alignment horizontal="left" vertical="top" wrapText="1"/>
    </xf>
    <xf numFmtId="0" fontId="80" fillId="0" borderId="40" xfId="0" applyFont="1" applyBorder="1" applyAlignment="1">
      <alignment vertical="center" wrapText="1"/>
    </xf>
    <xf numFmtId="0" fontId="80" fillId="2" borderId="13" xfId="0" applyFont="1" applyFill="1" applyBorder="1" applyAlignment="1">
      <alignment vertical="top" wrapText="1"/>
    </xf>
    <xf numFmtId="0" fontId="80" fillId="0" borderId="40" xfId="0" applyFont="1" applyBorder="1" applyAlignment="1">
      <alignment vertical="top" wrapText="1"/>
    </xf>
    <xf numFmtId="0" fontId="88" fillId="0" borderId="40" xfId="0" applyFont="1" applyBorder="1" applyAlignment="1">
      <alignment vertical="center" wrapText="1"/>
    </xf>
    <xf numFmtId="0" fontId="80" fillId="0" borderId="91" xfId="0" applyFont="1" applyBorder="1" applyAlignment="1">
      <alignment horizontal="left" vertical="top" wrapText="1"/>
    </xf>
    <xf numFmtId="0" fontId="5" fillId="2" borderId="229" xfId="0" applyFont="1" applyFill="1" applyBorder="1" applyAlignment="1">
      <alignment horizontal="center" vertical="center"/>
    </xf>
    <xf numFmtId="0" fontId="14" fillId="3" borderId="271" xfId="0" applyFont="1" applyFill="1" applyBorder="1" applyAlignment="1">
      <alignment horizontal="center" vertical="center" wrapText="1"/>
    </xf>
    <xf numFmtId="0" fontId="14" fillId="3" borderId="272" xfId="0" applyFont="1" applyFill="1" applyBorder="1" applyAlignment="1">
      <alignment horizontal="center" vertical="center" wrapText="1"/>
    </xf>
    <xf numFmtId="0" fontId="88" fillId="2" borderId="91" xfId="0" applyFont="1" applyFill="1" applyBorder="1" applyAlignment="1">
      <alignment vertical="top" wrapText="1"/>
    </xf>
    <xf numFmtId="0" fontId="88" fillId="2" borderId="270" xfId="0" applyFont="1" applyFill="1" applyBorder="1" applyAlignment="1">
      <alignment horizontal="left" vertical="center" wrapText="1"/>
    </xf>
    <xf numFmtId="0" fontId="80" fillId="0" borderId="59" xfId="0" applyFont="1" applyBorder="1" applyAlignment="1">
      <alignment horizontal="left" vertical="top" wrapText="1"/>
    </xf>
    <xf numFmtId="0" fontId="80" fillId="0" borderId="270" xfId="0" applyFont="1" applyBorder="1" applyAlignment="1">
      <alignment horizontal="left" vertical="top" wrapText="1"/>
    </xf>
    <xf numFmtId="0" fontId="88" fillId="0" borderId="43" xfId="0" applyFont="1" applyBorder="1" applyAlignment="1">
      <alignment horizontal="left" vertical="top" wrapText="1"/>
    </xf>
    <xf numFmtId="0" fontId="88" fillId="2" borderId="270" xfId="0" applyFont="1" applyFill="1" applyBorder="1" applyAlignment="1">
      <alignment horizontal="left" vertical="top" wrapText="1"/>
    </xf>
    <xf numFmtId="0" fontId="7" fillId="0" borderId="262" xfId="0" applyFont="1" applyBorder="1"/>
    <xf numFmtId="0" fontId="10" fillId="2" borderId="264" xfId="0" applyFont="1" applyFill="1" applyBorder="1" applyAlignment="1">
      <alignment vertical="center"/>
    </xf>
    <xf numFmtId="0" fontId="10" fillId="2" borderId="240" xfId="0" applyFont="1" applyFill="1" applyBorder="1" applyAlignment="1">
      <alignment vertical="center"/>
    </xf>
    <xf numFmtId="0" fontId="10" fillId="2" borderId="266" xfId="0" applyFont="1" applyFill="1" applyBorder="1" applyAlignment="1">
      <alignment vertical="center"/>
    </xf>
    <xf numFmtId="0" fontId="10" fillId="2" borderId="261" xfId="0" applyFont="1" applyFill="1" applyBorder="1" applyAlignment="1">
      <alignment vertical="center"/>
    </xf>
    <xf numFmtId="0" fontId="10" fillId="2" borderId="262" xfId="0" applyFont="1" applyFill="1" applyBorder="1" applyAlignment="1">
      <alignment vertical="center"/>
    </xf>
    <xf numFmtId="0" fontId="97" fillId="0" borderId="270" xfId="0" applyFont="1" applyBorder="1" applyAlignment="1">
      <alignment vertical="top" wrapText="1" readingOrder="1"/>
    </xf>
    <xf numFmtId="0" fontId="97" fillId="0" borderId="270" xfId="0" applyFont="1" applyBorder="1" applyAlignment="1">
      <alignment horizontal="left" vertical="top" wrapText="1" readingOrder="1"/>
    </xf>
    <xf numFmtId="0" fontId="97" fillId="0" borderId="273" xfId="0" applyFont="1" applyBorder="1" applyAlignment="1">
      <alignment vertical="top" wrapText="1" readingOrder="1"/>
    </xf>
    <xf numFmtId="0" fontId="97" fillId="0" borderId="274" xfId="0" applyFont="1" applyBorder="1" applyAlignment="1">
      <alignment vertical="top" wrapText="1" readingOrder="1"/>
    </xf>
    <xf numFmtId="0" fontId="89" fillId="30" borderId="62" xfId="0" applyFont="1" applyFill="1" applyBorder="1" applyAlignment="1">
      <alignment horizontal="center" vertical="center" wrapText="1"/>
    </xf>
    <xf numFmtId="0" fontId="80" fillId="0" borderId="59" xfId="0" applyFont="1" applyBorder="1" applyAlignment="1">
      <alignment horizontal="left" vertical="top" wrapText="1" readingOrder="1"/>
    </xf>
    <xf numFmtId="0" fontId="80" fillId="0" borderId="64" xfId="0" applyFont="1" applyBorder="1" applyAlignment="1">
      <alignment horizontal="left" vertical="top" wrapText="1" readingOrder="1"/>
    </xf>
    <xf numFmtId="0" fontId="104" fillId="0" borderId="39" xfId="0" applyFont="1" applyBorder="1" applyAlignment="1">
      <alignment wrapText="1"/>
    </xf>
    <xf numFmtId="0" fontId="5" fillId="2" borderId="263" xfId="0" applyFont="1" applyFill="1" applyBorder="1" applyAlignment="1">
      <alignment horizontal="center"/>
    </xf>
    <xf numFmtId="0" fontId="10" fillId="2" borderId="261" xfId="0" applyFont="1" applyFill="1" applyBorder="1"/>
    <xf numFmtId="0" fontId="89" fillId="30" borderId="40" xfId="0" applyFont="1" applyFill="1" applyBorder="1" applyAlignment="1">
      <alignment horizontal="left" vertical="top" wrapText="1"/>
    </xf>
    <xf numFmtId="0" fontId="88" fillId="0" borderId="60" xfId="0" applyFont="1" applyBorder="1" applyAlignment="1">
      <alignment vertical="center" wrapText="1"/>
    </xf>
    <xf numFmtId="0" fontId="5" fillId="2" borderId="240" xfId="0" applyFont="1" applyFill="1" applyBorder="1" applyAlignment="1">
      <alignment horizontal="center"/>
    </xf>
    <xf numFmtId="0" fontId="14" fillId="0" borderId="100" xfId="0" applyFont="1" applyBorder="1" applyAlignment="1">
      <alignment horizontal="center" vertical="center"/>
    </xf>
    <xf numFmtId="0" fontId="14" fillId="0" borderId="1" xfId="0" applyFont="1" applyBorder="1" applyAlignment="1">
      <alignment horizontal="center" vertical="center"/>
    </xf>
    <xf numFmtId="0" fontId="14" fillId="0" borderId="51" xfId="0" applyFont="1" applyBorder="1" applyAlignment="1">
      <alignment horizontal="center" vertical="center"/>
    </xf>
    <xf numFmtId="0" fontId="82" fillId="11" borderId="46" xfId="0" applyFont="1" applyFill="1" applyBorder="1" applyAlignment="1">
      <alignment vertical="center"/>
    </xf>
    <xf numFmtId="0" fontId="80" fillId="0" borderId="60" xfId="0" applyFont="1" applyBorder="1" applyAlignment="1">
      <alignment horizontal="left" vertical="top" wrapText="1"/>
    </xf>
    <xf numFmtId="0" fontId="90" fillId="3" borderId="105" xfId="0" applyFont="1" applyFill="1" applyBorder="1" applyAlignment="1">
      <alignment horizontal="center" vertical="center"/>
    </xf>
    <xf numFmtId="0" fontId="89" fillId="3" borderId="182" xfId="0" applyFont="1" applyFill="1" applyBorder="1" applyAlignment="1">
      <alignment horizontal="center" vertical="center" wrapText="1" readingOrder="1"/>
    </xf>
    <xf numFmtId="0" fontId="89" fillId="3" borderId="184" xfId="0" applyFont="1" applyFill="1" applyBorder="1" applyAlignment="1">
      <alignment horizontal="center" vertical="center" wrapText="1" readingOrder="1"/>
    </xf>
    <xf numFmtId="0" fontId="89" fillId="3" borderId="227" xfId="0" applyFont="1" applyFill="1" applyBorder="1" applyAlignment="1">
      <alignment horizontal="center" vertical="center" wrapText="1" readingOrder="1"/>
    </xf>
    <xf numFmtId="0" fontId="5" fillId="0" borderId="1" xfId="0" applyFont="1" applyBorder="1"/>
    <xf numFmtId="0" fontId="96" fillId="0" borderId="270" xfId="0" applyFont="1" applyBorder="1"/>
    <xf numFmtId="0" fontId="85" fillId="34" borderId="270" xfId="0" applyFont="1" applyFill="1" applyBorder="1"/>
    <xf numFmtId="0" fontId="4" fillId="0" borderId="270" xfId="0" applyFont="1" applyBorder="1"/>
    <xf numFmtId="164" fontId="95" fillId="0" borderId="0" xfId="0" applyNumberFormat="1" applyFont="1" applyAlignment="1">
      <alignment horizontal="center"/>
    </xf>
    <xf numFmtId="0" fontId="87" fillId="10" borderId="51" xfId="0" applyFont="1" applyFill="1" applyBorder="1" applyAlignment="1">
      <alignment horizontal="center"/>
    </xf>
    <xf numFmtId="0" fontId="87" fillId="10" borderId="55" xfId="0" applyFont="1" applyFill="1" applyBorder="1" applyAlignment="1">
      <alignment horizontal="center"/>
    </xf>
    <xf numFmtId="0" fontId="88" fillId="35" borderId="14" xfId="0" applyFont="1" applyFill="1" applyBorder="1" applyAlignment="1">
      <alignment horizontal="center"/>
    </xf>
    <xf numFmtId="0" fontId="85" fillId="7" borderId="26" xfId="0" applyFont="1" applyFill="1" applyBorder="1" applyAlignment="1">
      <alignment horizontal="left"/>
    </xf>
    <xf numFmtId="0" fontId="85" fillId="7" borderId="31" xfId="0" applyFont="1" applyFill="1" applyBorder="1" applyAlignment="1">
      <alignment horizontal="left"/>
    </xf>
    <xf numFmtId="0" fontId="85" fillId="7" borderId="38" xfId="0" applyFont="1" applyFill="1" applyBorder="1" applyAlignment="1">
      <alignment horizontal="left"/>
    </xf>
    <xf numFmtId="14" fontId="84" fillId="35" borderId="270" xfId="0" applyNumberFormat="1" applyFont="1" applyFill="1" applyBorder="1" applyAlignment="1">
      <alignment horizontal="center"/>
    </xf>
    <xf numFmtId="0" fontId="14" fillId="3" borderId="140" xfId="0" applyFont="1" applyFill="1" applyBorder="1" applyAlignment="1">
      <alignment horizontal="center" vertical="center" wrapText="1"/>
    </xf>
    <xf numFmtId="0" fontId="14" fillId="3" borderId="258" xfId="0" applyFont="1" applyFill="1" applyBorder="1" applyAlignment="1">
      <alignment horizontal="center" vertical="center" wrapText="1"/>
    </xf>
    <xf numFmtId="0" fontId="15" fillId="2" borderId="240" xfId="0" applyFont="1" applyFill="1" applyBorder="1"/>
    <xf numFmtId="0" fontId="7" fillId="0" borderId="265" xfId="0" applyFont="1" applyBorder="1"/>
    <xf numFmtId="0" fontId="15" fillId="2" borderId="40" xfId="0" applyFont="1" applyFill="1" applyBorder="1" applyAlignment="1">
      <alignment vertical="top" wrapText="1"/>
    </xf>
    <xf numFmtId="0" fontId="15" fillId="2" borderId="40" xfId="0" applyFont="1" applyFill="1" applyBorder="1" applyAlignment="1">
      <alignment vertical="center" wrapText="1"/>
    </xf>
    <xf numFmtId="0" fontId="15" fillId="0" borderId="59" xfId="0" applyFont="1" applyBorder="1" applyAlignment="1">
      <alignment horizontal="left" vertical="top" wrapText="1"/>
    </xf>
    <xf numFmtId="0" fontId="15" fillId="0" borderId="179" xfId="0" applyFont="1" applyBorder="1" applyAlignment="1">
      <alignment horizontal="left" vertical="top" wrapText="1"/>
    </xf>
    <xf numFmtId="0" fontId="14" fillId="30" borderId="40" xfId="0" applyFont="1" applyFill="1" applyBorder="1" applyAlignment="1">
      <alignment horizontal="center" vertical="top" wrapText="1"/>
    </xf>
    <xf numFmtId="0" fontId="14" fillId="30" borderId="140" xfId="0" applyFont="1" applyFill="1" applyBorder="1" applyAlignment="1">
      <alignment horizontal="center" vertical="top" wrapText="1"/>
    </xf>
    <xf numFmtId="0" fontId="13" fillId="0" borderId="145" xfId="0" applyFont="1" applyBorder="1" applyAlignment="1">
      <alignment vertical="center"/>
    </xf>
    <xf numFmtId="0" fontId="13" fillId="2" borderId="263" xfId="0" applyFont="1" applyFill="1" applyBorder="1" applyAlignment="1">
      <alignment vertical="center"/>
    </xf>
    <xf numFmtId="0" fontId="89" fillId="30" borderId="140" xfId="0" applyFont="1" applyFill="1" applyBorder="1" applyAlignment="1">
      <alignment horizontal="left" vertical="top" wrapText="1"/>
    </xf>
    <xf numFmtId="0" fontId="15" fillId="2" borderId="13" xfId="0" applyFont="1" applyFill="1" applyBorder="1" applyAlignment="1">
      <alignment horizontal="left" vertical="top" wrapText="1"/>
    </xf>
    <xf numFmtId="0" fontId="15" fillId="2" borderId="91" xfId="0" applyFont="1" applyFill="1" applyBorder="1" applyAlignment="1">
      <alignment vertical="top" wrapText="1"/>
    </xf>
    <xf numFmtId="0" fontId="15" fillId="2" borderId="270" xfId="0" applyFont="1" applyFill="1" applyBorder="1" applyAlignment="1">
      <alignment horizontal="left" vertical="top" wrapText="1"/>
    </xf>
    <xf numFmtId="0" fontId="15" fillId="2" borderId="270" xfId="0" applyFont="1" applyFill="1" applyBorder="1" applyAlignment="1">
      <alignment horizontal="left" vertical="center" wrapText="1"/>
    </xf>
    <xf numFmtId="0" fontId="15" fillId="0" borderId="111" xfId="0" applyFont="1" applyBorder="1" applyAlignment="1">
      <alignment horizontal="left" vertical="top" wrapText="1"/>
    </xf>
    <xf numFmtId="0" fontId="26" fillId="0" borderId="91" xfId="0" applyFont="1" applyBorder="1" applyAlignment="1">
      <alignment horizontal="left" vertical="top" wrapText="1"/>
    </xf>
    <xf numFmtId="0" fontId="26" fillId="0" borderId="59" xfId="0" applyFont="1" applyBorder="1" applyAlignment="1">
      <alignment horizontal="left" vertical="top" wrapText="1"/>
    </xf>
    <xf numFmtId="0" fontId="26" fillId="0" borderId="270" xfId="0" applyFont="1" applyBorder="1" applyAlignment="1">
      <alignment horizontal="left" vertical="top" wrapText="1"/>
    </xf>
    <xf numFmtId="0" fontId="14" fillId="30" borderId="91" xfId="0" applyFont="1" applyFill="1" applyBorder="1" applyAlignment="1">
      <alignment horizontal="center" vertical="top" wrapText="1"/>
    </xf>
    <xf numFmtId="0" fontId="13" fillId="0" borderId="263" xfId="0" applyFont="1" applyBorder="1" applyAlignment="1">
      <alignment vertical="center"/>
    </xf>
    <xf numFmtId="0" fontId="22" fillId="35" borderId="12" xfId="0" applyFont="1" applyFill="1" applyBorder="1" applyAlignment="1">
      <alignment horizontal="right" vertical="center"/>
    </xf>
    <xf numFmtId="0" fontId="22" fillId="35" borderId="13" xfId="0" applyFont="1" applyFill="1" applyBorder="1" applyAlignment="1">
      <alignment horizontal="right" vertical="center"/>
    </xf>
    <xf numFmtId="0" fontId="109" fillId="0" borderId="240" xfId="0" applyFont="1" applyBorder="1"/>
    <xf numFmtId="0" fontId="107" fillId="0" borderId="240" xfId="0" applyFont="1" applyBorder="1"/>
    <xf numFmtId="0" fontId="10" fillId="2" borderId="1" xfId="0" applyFont="1" applyFill="1" applyBorder="1" applyAlignment="1">
      <alignment horizontal="center" vertical="center"/>
    </xf>
    <xf numFmtId="0" fontId="6" fillId="34" borderId="270" xfId="0" applyFont="1" applyFill="1" applyBorder="1"/>
    <xf numFmtId="0" fontId="95" fillId="34" borderId="270" xfId="0" applyFont="1" applyFill="1" applyBorder="1" applyAlignment="1">
      <alignment wrapText="1"/>
    </xf>
    <xf numFmtId="0" fontId="95" fillId="41" borderId="270" xfId="0" applyFont="1" applyFill="1" applyBorder="1" applyAlignment="1">
      <alignment horizontal="center"/>
    </xf>
    <xf numFmtId="0" fontId="3" fillId="0" borderId="270" xfId="0" applyFont="1" applyBorder="1" applyAlignment="1">
      <alignment horizontal="left"/>
    </xf>
    <xf numFmtId="0" fontId="3" fillId="0" borderId="270" xfId="0" applyFont="1" applyBorder="1"/>
    <xf numFmtId="0" fontId="22" fillId="39" borderId="284" xfId="0" applyFont="1" applyFill="1" applyBorder="1" applyAlignment="1">
      <alignment horizontal="center" vertical="center"/>
    </xf>
    <xf numFmtId="0" fontId="10" fillId="27" borderId="285" xfId="0" applyFont="1" applyFill="1" applyBorder="1" applyAlignment="1">
      <alignment horizontal="center" vertical="center"/>
    </xf>
    <xf numFmtId="0" fontId="5" fillId="27" borderId="240" xfId="0" applyFont="1" applyFill="1" applyBorder="1"/>
    <xf numFmtId="0" fontId="0" fillId="27" borderId="0" xfId="0" applyFill="1"/>
    <xf numFmtId="0" fontId="7" fillId="27" borderId="240" xfId="0" applyFont="1" applyFill="1" applyBorder="1"/>
    <xf numFmtId="0" fontId="0" fillId="27" borderId="240" xfId="0" applyFill="1" applyBorder="1"/>
    <xf numFmtId="0" fontId="7" fillId="0" borderId="242" xfId="0" applyFont="1" applyBorder="1"/>
    <xf numFmtId="0" fontId="2" fillId="0" borderId="270" xfId="0" applyFont="1" applyBorder="1"/>
    <xf numFmtId="0" fontId="6" fillId="2" borderId="240" xfId="0" applyFont="1" applyFill="1" applyBorder="1" applyAlignment="1">
      <alignment horizontal="center" vertical="center"/>
    </xf>
    <xf numFmtId="164" fontId="8" fillId="15" borderId="240" xfId="0" applyNumberFormat="1" applyFont="1" applyFill="1" applyBorder="1" applyAlignment="1">
      <alignment horizontal="center" vertical="center"/>
    </xf>
    <xf numFmtId="0" fontId="8" fillId="3" borderId="286" xfId="0" applyFont="1" applyFill="1" applyBorder="1" applyAlignment="1">
      <alignment horizontal="center" vertical="center" wrapText="1"/>
    </xf>
    <xf numFmtId="0" fontId="8" fillId="3" borderId="287" xfId="0" applyFont="1" applyFill="1" applyBorder="1" applyAlignment="1">
      <alignment horizontal="center" vertical="center" wrapText="1"/>
    </xf>
    <xf numFmtId="0" fontId="5" fillId="17" borderId="208" xfId="0" applyFont="1" applyFill="1" applyBorder="1" applyAlignment="1">
      <alignment vertical="center" wrapText="1"/>
    </xf>
    <xf numFmtId="0" fontId="8" fillId="3" borderId="289" xfId="0" applyFont="1" applyFill="1" applyBorder="1" applyAlignment="1">
      <alignment horizontal="center" vertical="center" wrapText="1"/>
    </xf>
    <xf numFmtId="0" fontId="5" fillId="0" borderId="226" xfId="0" applyFont="1" applyBorder="1" applyAlignment="1">
      <alignment horizontal="left" vertical="top" wrapText="1"/>
    </xf>
    <xf numFmtId="0" fontId="8" fillId="3" borderId="293" xfId="0" applyFont="1" applyFill="1" applyBorder="1" applyAlignment="1">
      <alignment horizontal="center" vertical="center" wrapText="1"/>
    </xf>
    <xf numFmtId="0" fontId="8" fillId="3" borderId="294" xfId="0" applyFont="1" applyFill="1" applyBorder="1" applyAlignment="1">
      <alignment horizontal="center" vertical="center" wrapText="1"/>
    </xf>
    <xf numFmtId="0" fontId="5" fillId="0" borderId="91" xfId="0" applyFont="1" applyBorder="1" applyAlignment="1">
      <alignment horizontal="left" vertical="top" wrapText="1"/>
    </xf>
    <xf numFmtId="0" fontId="8" fillId="3" borderId="295" xfId="0" applyFont="1" applyFill="1" applyBorder="1" applyAlignment="1">
      <alignment horizontal="center" vertical="center" wrapText="1"/>
    </xf>
    <xf numFmtId="0" fontId="8" fillId="3" borderId="296" xfId="0" applyFont="1" applyFill="1" applyBorder="1" applyAlignment="1">
      <alignment horizontal="center" vertical="center" wrapText="1"/>
    </xf>
    <xf numFmtId="164" fontId="6" fillId="13" borderId="298" xfId="0" applyNumberFormat="1" applyFont="1" applyFill="1" applyBorder="1" applyAlignment="1">
      <alignment horizontal="center" vertical="center"/>
    </xf>
    <xf numFmtId="164" fontId="6" fillId="13" borderId="280" xfId="0" applyNumberFormat="1" applyFont="1" applyFill="1" applyBorder="1" applyAlignment="1">
      <alignment horizontal="center" vertical="center"/>
    </xf>
    <xf numFmtId="0" fontId="6" fillId="2" borderId="240" xfId="0" applyFont="1" applyFill="1" applyBorder="1"/>
    <xf numFmtId="0" fontId="6" fillId="2" borderId="300" xfId="0" applyFont="1" applyFill="1" applyBorder="1" applyAlignment="1">
      <alignment horizontal="center" vertical="center" wrapText="1"/>
    </xf>
    <xf numFmtId="0" fontId="6" fillId="0" borderId="300" xfId="0" applyFont="1" applyBorder="1" applyAlignment="1">
      <alignment horizontal="center" vertical="center"/>
    </xf>
    <xf numFmtId="0" fontId="6" fillId="0" borderId="301" xfId="0" applyFont="1" applyBorder="1" applyAlignment="1">
      <alignment horizontal="center" vertical="center"/>
    </xf>
    <xf numFmtId="0" fontId="5" fillId="2" borderId="305" xfId="0" applyFont="1" applyFill="1" applyBorder="1" applyAlignment="1">
      <alignment horizontal="center" vertical="center"/>
    </xf>
    <xf numFmtId="0" fontId="5" fillId="2" borderId="306" xfId="0" applyFont="1" applyFill="1" applyBorder="1" applyAlignment="1">
      <alignment horizontal="center" vertical="center"/>
    </xf>
    <xf numFmtId="0" fontId="5" fillId="17" borderId="208" xfId="0" applyFont="1" applyFill="1" applyBorder="1" applyAlignment="1">
      <alignment horizontal="left" vertical="center" wrapText="1"/>
    </xf>
    <xf numFmtId="0" fontId="5" fillId="2" borderId="307" xfId="0" applyFont="1" applyFill="1" applyBorder="1" applyAlignment="1">
      <alignment horizontal="center" vertical="center"/>
    </xf>
    <xf numFmtId="0" fontId="5" fillId="2" borderId="310" xfId="0" applyFont="1" applyFill="1" applyBorder="1" applyAlignment="1">
      <alignment horizontal="center" vertical="center"/>
    </xf>
    <xf numFmtId="0" fontId="5" fillId="0" borderId="311" xfId="0" applyFont="1" applyBorder="1" applyAlignment="1">
      <alignment vertical="center" wrapText="1"/>
    </xf>
    <xf numFmtId="0" fontId="8" fillId="3" borderId="267" xfId="0" applyFont="1" applyFill="1" applyBorder="1" applyAlignment="1">
      <alignment horizontal="center" vertical="center" wrapText="1"/>
    </xf>
    <xf numFmtId="0" fontId="33" fillId="0" borderId="207" xfId="0" applyFont="1" applyBorder="1" applyAlignment="1">
      <alignment horizontal="center"/>
    </xf>
    <xf numFmtId="0" fontId="33" fillId="28" borderId="84" xfId="0" applyFont="1" applyFill="1" applyBorder="1" applyAlignment="1">
      <alignment horizontal="center" vertical="center"/>
    </xf>
    <xf numFmtId="0" fontId="6" fillId="2" borderId="270" xfId="0" applyFont="1" applyFill="1" applyBorder="1" applyAlignment="1">
      <alignment horizontal="center" vertical="center"/>
    </xf>
    <xf numFmtId="0" fontId="5" fillId="2" borderId="270" xfId="0" applyFont="1" applyFill="1" applyBorder="1" applyAlignment="1">
      <alignment horizontal="center" vertical="center"/>
    </xf>
    <xf numFmtId="0" fontId="5" fillId="2" borderId="270" xfId="0" applyFont="1" applyFill="1" applyBorder="1" applyAlignment="1">
      <alignment horizontal="center" vertical="center" wrapText="1"/>
    </xf>
    <xf numFmtId="0" fontId="15" fillId="0" borderId="111" xfId="0" applyFont="1" applyBorder="1" applyAlignment="1">
      <alignment vertical="top" wrapText="1"/>
    </xf>
    <xf numFmtId="0" fontId="15" fillId="0" borderId="111" xfId="0" applyFont="1" applyBorder="1" applyAlignment="1">
      <alignment horizontal="left" vertical="top" wrapText="1" readingOrder="1"/>
    </xf>
    <xf numFmtId="0" fontId="15" fillId="0" borderId="230" xfId="0" applyFont="1" applyBorder="1" applyAlignment="1">
      <alignment horizontal="left" vertical="center" wrapText="1"/>
    </xf>
    <xf numFmtId="0" fontId="6" fillId="0" borderId="111" xfId="0" applyFont="1" applyBorder="1" applyAlignment="1">
      <alignment horizontal="right" vertical="center" wrapText="1"/>
    </xf>
    <xf numFmtId="0" fontId="13" fillId="2" borderId="270" xfId="0" applyFont="1" applyFill="1" applyBorder="1" applyAlignment="1">
      <alignment horizontal="center" vertical="center"/>
    </xf>
    <xf numFmtId="0" fontId="22" fillId="0" borderId="40" xfId="0" applyFont="1" applyBorder="1" applyAlignment="1">
      <alignment horizontal="left" wrapText="1"/>
    </xf>
    <xf numFmtId="0" fontId="26" fillId="0" borderId="60" xfId="0" applyFont="1" applyBorder="1" applyAlignment="1">
      <alignment vertical="top" wrapText="1"/>
    </xf>
    <xf numFmtId="0" fontId="15" fillId="42" borderId="43" xfId="0" applyFont="1" applyFill="1" applyBorder="1" applyAlignment="1">
      <alignment horizontal="left" vertical="center" wrapText="1"/>
    </xf>
    <xf numFmtId="0" fontId="6" fillId="42" borderId="59" xfId="0" applyFont="1" applyFill="1" applyBorder="1" applyAlignment="1">
      <alignment horizontal="right" vertical="center"/>
    </xf>
    <xf numFmtId="0" fontId="36" fillId="0" borderId="140" xfId="0" applyFont="1" applyBorder="1" applyAlignment="1">
      <alignment vertical="top" wrapText="1"/>
    </xf>
    <xf numFmtId="0" fontId="14" fillId="0" borderId="295" xfId="0" applyFont="1" applyBorder="1" applyAlignment="1">
      <alignment horizontal="center" vertical="center" wrapText="1"/>
    </xf>
    <xf numFmtId="0" fontId="7" fillId="0" borderId="63" xfId="0" applyFont="1" applyBorder="1"/>
    <xf numFmtId="0" fontId="7" fillId="0" borderId="72" xfId="0" applyFont="1" applyBorder="1"/>
    <xf numFmtId="0" fontId="27" fillId="2" borderId="62" xfId="0" applyFont="1" applyFill="1" applyBorder="1" applyAlignment="1">
      <alignment horizontal="left" vertical="top"/>
    </xf>
    <xf numFmtId="0" fontId="7" fillId="0" borderId="111" xfId="0" applyFont="1" applyBorder="1"/>
    <xf numFmtId="0" fontId="5" fillId="0" borderId="140" xfId="0" applyFont="1" applyBorder="1" applyAlignment="1">
      <alignment horizontal="left" vertical="top" wrapText="1"/>
    </xf>
    <xf numFmtId="0" fontId="50" fillId="30" borderId="140" xfId="0" applyFont="1" applyFill="1" applyBorder="1"/>
    <xf numFmtId="0" fontId="5" fillId="0" borderId="229" xfId="0" applyFont="1" applyBorder="1" applyAlignment="1">
      <alignment horizontal="left" vertical="top" wrapText="1"/>
    </xf>
    <xf numFmtId="0" fontId="5" fillId="2" borderId="92" xfId="0" applyFont="1" applyFill="1" applyBorder="1" applyAlignment="1">
      <alignment horizontal="center" vertical="center"/>
    </xf>
    <xf numFmtId="0" fontId="0" fillId="0" borderId="0" xfId="0"/>
    <xf numFmtId="0" fontId="5" fillId="2" borderId="237" xfId="0" applyFont="1" applyFill="1" applyBorder="1" applyAlignment="1">
      <alignment horizontal="center" vertical="center"/>
    </xf>
    <xf numFmtId="0" fontId="26" fillId="0" borderId="140" xfId="0" applyFont="1" applyBorder="1" applyAlignment="1">
      <alignment horizontal="left" vertical="top" wrapText="1" readingOrder="1"/>
    </xf>
    <xf numFmtId="0" fontId="14" fillId="3" borderId="129" xfId="0" applyFont="1" applyFill="1" applyBorder="1" applyAlignment="1">
      <alignment horizontal="center" vertical="center" readingOrder="1"/>
    </xf>
    <xf numFmtId="0" fontId="13" fillId="0" borderId="270" xfId="0" applyFont="1" applyBorder="1" applyAlignment="1">
      <alignment horizontal="center" vertical="center" readingOrder="1"/>
    </xf>
    <xf numFmtId="164" fontId="19" fillId="43" borderId="121" xfId="0" applyNumberFormat="1" applyFont="1" applyFill="1" applyBorder="1" applyAlignment="1">
      <alignment horizontal="center" vertical="center"/>
    </xf>
    <xf numFmtId="0" fontId="19" fillId="3" borderId="9" xfId="0" applyFont="1" applyFill="1" applyBorder="1" applyAlignment="1">
      <alignment horizontal="left" vertical="center"/>
    </xf>
    <xf numFmtId="0" fontId="107" fillId="0" borderId="10" xfId="0" applyFont="1" applyBorder="1"/>
    <xf numFmtId="0" fontId="107" fillId="0" borderId="11" xfId="0" applyFont="1" applyBorder="1"/>
    <xf numFmtId="0" fontId="22" fillId="35" borderId="7" xfId="0" applyFont="1" applyFill="1" applyBorder="1" applyAlignment="1">
      <alignment horizontal="right" vertical="center"/>
    </xf>
    <xf numFmtId="0" fontId="107" fillId="39" borderId="8" xfId="0" applyFont="1" applyFill="1" applyBorder="1"/>
    <xf numFmtId="0" fontId="92" fillId="27" borderId="240" xfId="0" applyFont="1" applyFill="1" applyBorder="1" applyAlignment="1">
      <alignment horizontal="center" vertical="center" wrapText="1"/>
    </xf>
    <xf numFmtId="0" fontId="10" fillId="27" borderId="240" xfId="0" applyFont="1" applyFill="1" applyBorder="1" applyAlignment="1">
      <alignment horizontal="center" vertical="center" wrapText="1"/>
    </xf>
    <xf numFmtId="0" fontId="22" fillId="35" borderId="2" xfId="0" applyFont="1" applyFill="1" applyBorder="1" applyAlignment="1">
      <alignment horizontal="right" vertical="center"/>
    </xf>
    <xf numFmtId="0" fontId="107" fillId="39" borderId="3" xfId="0" applyFont="1" applyFill="1" applyBorder="1"/>
    <xf numFmtId="0" fontId="19" fillId="3" borderId="4" xfId="0" applyFont="1" applyFill="1" applyBorder="1" applyAlignment="1">
      <alignment horizontal="left" vertical="center"/>
    </xf>
    <xf numFmtId="0" fontId="107" fillId="0" borderId="5" xfId="0" applyFont="1" applyBorder="1"/>
    <xf numFmtId="0" fontId="107" fillId="0" borderId="6" xfId="0" applyFont="1" applyBorder="1"/>
    <xf numFmtId="0" fontId="110" fillId="39" borderId="261" xfId="0" applyFont="1" applyFill="1" applyBorder="1" applyAlignment="1">
      <alignment horizontal="center"/>
    </xf>
    <xf numFmtId="0" fontId="110" fillId="39" borderId="263" xfId="0" applyFont="1" applyFill="1" applyBorder="1" applyAlignment="1">
      <alignment horizontal="center"/>
    </xf>
    <xf numFmtId="0" fontId="10" fillId="0" borderId="281" xfId="0" applyFont="1" applyBorder="1" applyAlignment="1">
      <alignment horizontal="center" vertical="center"/>
    </xf>
    <xf numFmtId="0" fontId="10" fillId="0" borderId="282" xfId="0" applyFont="1" applyBorder="1" applyAlignment="1">
      <alignment horizontal="center" vertical="center"/>
    </xf>
    <xf numFmtId="0" fontId="10" fillId="0" borderId="283" xfId="0" applyFont="1" applyBorder="1" applyAlignment="1">
      <alignment horizontal="center" vertical="center"/>
    </xf>
    <xf numFmtId="0" fontId="19" fillId="40" borderId="279" xfId="0" applyFont="1" applyFill="1" applyBorder="1" applyAlignment="1">
      <alignment horizontal="center" vertical="center"/>
    </xf>
    <xf numFmtId="0" fontId="19" fillId="40" borderId="280" xfId="0" applyFont="1" applyFill="1" applyBorder="1" applyAlignment="1">
      <alignment horizontal="center" vertical="center"/>
    </xf>
    <xf numFmtId="0" fontId="19" fillId="30" borderId="279" xfId="0" applyFont="1" applyFill="1" applyBorder="1" applyAlignment="1">
      <alignment vertical="center"/>
    </xf>
    <xf numFmtId="0" fontId="19" fillId="30" borderId="280" xfId="0" applyFont="1" applyFill="1" applyBorder="1" applyAlignment="1">
      <alignment vertical="center"/>
    </xf>
    <xf numFmtId="0" fontId="19" fillId="30" borderId="277" xfId="0" applyFont="1" applyFill="1" applyBorder="1" applyAlignment="1">
      <alignment horizontal="center"/>
    </xf>
    <xf numFmtId="0" fontId="19" fillId="30" borderId="278" xfId="0" applyFont="1" applyFill="1" applyBorder="1" applyAlignment="1">
      <alignment horizontal="center"/>
    </xf>
    <xf numFmtId="0" fontId="108" fillId="39" borderId="261" xfId="0" applyFont="1" applyFill="1" applyBorder="1" applyAlignment="1">
      <alignment horizontal="center"/>
    </xf>
    <xf numFmtId="0" fontId="107" fillId="39" borderId="263" xfId="0" applyFont="1" applyFill="1" applyBorder="1" applyAlignment="1">
      <alignment horizontal="center"/>
    </xf>
    <xf numFmtId="0" fontId="22" fillId="35" borderId="17" xfId="0" applyFont="1" applyFill="1" applyBorder="1" applyAlignment="1">
      <alignment horizontal="right" vertical="center"/>
    </xf>
    <xf numFmtId="0" fontId="107" fillId="39" borderId="18" xfId="0" applyFont="1" applyFill="1" applyBorder="1"/>
    <xf numFmtId="0" fontId="22" fillId="35" borderId="15" xfId="0" applyFont="1" applyFill="1" applyBorder="1" applyAlignment="1">
      <alignment horizontal="right" vertical="center"/>
    </xf>
    <xf numFmtId="0" fontId="107" fillId="39" borderId="16" xfId="0" applyFont="1" applyFill="1" applyBorder="1"/>
    <xf numFmtId="14" fontId="19" fillId="30" borderId="275" xfId="0" applyNumberFormat="1" applyFont="1" applyFill="1" applyBorder="1" applyAlignment="1">
      <alignment horizontal="center"/>
    </xf>
    <xf numFmtId="0" fontId="19" fillId="30" borderId="276" xfId="0" applyFont="1" applyFill="1" applyBorder="1" applyAlignment="1">
      <alignment horizontal="center"/>
    </xf>
    <xf numFmtId="0" fontId="22" fillId="35" borderId="279" xfId="0" applyFont="1" applyFill="1" applyBorder="1" applyAlignment="1">
      <alignment horizontal="center" vertical="center"/>
    </xf>
    <xf numFmtId="0" fontId="22" fillId="35" borderId="280" xfId="0" applyFont="1" applyFill="1" applyBorder="1" applyAlignment="1">
      <alignment horizontal="center" vertical="center"/>
    </xf>
    <xf numFmtId="0" fontId="5" fillId="10" borderId="49" xfId="0" applyFont="1" applyFill="1" applyBorder="1" applyAlignment="1">
      <alignment horizontal="left"/>
    </xf>
    <xf numFmtId="0" fontId="7" fillId="0" borderId="21" xfId="0" applyFont="1" applyBorder="1"/>
    <xf numFmtId="0" fontId="22" fillId="10" borderId="49" xfId="0" applyFont="1" applyFill="1" applyBorder="1" applyAlignment="1">
      <alignment horizontal="left" wrapText="1"/>
    </xf>
    <xf numFmtId="0" fontId="6" fillId="10" borderId="17" xfId="0" applyFont="1" applyFill="1" applyBorder="1" applyAlignment="1">
      <alignment horizontal="left" vertical="center" wrapText="1"/>
    </xf>
    <xf numFmtId="0" fontId="7" fillId="0" borderId="18" xfId="0" applyFont="1" applyBorder="1"/>
    <xf numFmtId="0" fontId="21" fillId="10" borderId="49" xfId="0" applyFont="1" applyFill="1" applyBorder="1" applyAlignment="1">
      <alignment horizontal="center"/>
    </xf>
    <xf numFmtId="0" fontId="7" fillId="0" borderId="50" xfId="0" applyFont="1" applyBorder="1"/>
    <xf numFmtId="0" fontId="18" fillId="10" borderId="49" xfId="0" applyFont="1" applyFill="1" applyBorder="1" applyAlignment="1">
      <alignment horizontal="center"/>
    </xf>
    <xf numFmtId="0" fontId="20" fillId="0" borderId="52" xfId="0" applyFont="1" applyBorder="1" applyAlignment="1">
      <alignment horizontal="left" vertical="top" wrapText="1"/>
    </xf>
    <xf numFmtId="0" fontId="7" fillId="0" borderId="53" xfId="0" applyFont="1" applyBorder="1"/>
    <xf numFmtId="0" fontId="7" fillId="0" borderId="54" xfId="0" applyFont="1" applyBorder="1"/>
    <xf numFmtId="0" fontId="5" fillId="10" borderId="49" xfId="0" applyFont="1" applyFill="1" applyBorder="1" applyAlignment="1">
      <alignment horizontal="left" vertical="top"/>
    </xf>
    <xf numFmtId="0" fontId="102" fillId="11" borderId="20" xfId="0" applyFont="1" applyFill="1" applyBorder="1" applyAlignment="1">
      <alignment horizontal="center" vertical="center"/>
    </xf>
    <xf numFmtId="0" fontId="83" fillId="0" borderId="21" xfId="0" applyFont="1" applyBorder="1"/>
    <xf numFmtId="0" fontId="96" fillId="10" borderId="49" xfId="0" applyFont="1" applyFill="1" applyBorder="1" applyAlignment="1">
      <alignment horizontal="right"/>
    </xf>
    <xf numFmtId="0" fontId="5" fillId="10" borderId="49" xfId="0" applyFont="1" applyFill="1" applyBorder="1" applyAlignment="1">
      <alignment horizontal="left" wrapText="1"/>
    </xf>
    <xf numFmtId="0" fontId="5" fillId="10" borderId="49" xfId="0" applyFont="1" applyFill="1" applyBorder="1" applyAlignment="1">
      <alignment horizontal="right"/>
    </xf>
    <xf numFmtId="1" fontId="17" fillId="0" borderId="45" xfId="0" applyNumberFormat="1" applyFont="1" applyBorder="1" applyAlignment="1">
      <alignment horizontal="left" vertical="center"/>
    </xf>
    <xf numFmtId="0" fontId="7" fillId="0" borderId="45" xfId="0" applyFont="1" applyBorder="1"/>
    <xf numFmtId="0" fontId="12" fillId="2" borderId="20" xfId="0" applyFont="1" applyFill="1" applyBorder="1" applyAlignment="1">
      <alignment horizontal="center" vertical="center"/>
    </xf>
    <xf numFmtId="0" fontId="12" fillId="4" borderId="20" xfId="0" applyFont="1" applyFill="1" applyBorder="1" applyAlignment="1">
      <alignment horizontal="center" vertical="center"/>
    </xf>
    <xf numFmtId="0" fontId="8" fillId="5" borderId="22" xfId="0" applyFont="1" applyFill="1" applyBorder="1" applyAlignment="1">
      <alignment horizontal="center" vertical="center"/>
    </xf>
    <xf numFmtId="0" fontId="7" fillId="0" borderId="23" xfId="0" applyFont="1" applyBorder="1"/>
    <xf numFmtId="0" fontId="7" fillId="0" borderId="24" xfId="0" applyFont="1" applyBorder="1"/>
    <xf numFmtId="0" fontId="6" fillId="8" borderId="32" xfId="0" applyFont="1" applyFill="1" applyBorder="1" applyAlignment="1">
      <alignment horizontal="center" vertical="center"/>
    </xf>
    <xf numFmtId="0" fontId="7" fillId="0" borderId="33" xfId="0" applyFont="1" applyBorder="1"/>
    <xf numFmtId="0" fontId="7" fillId="0" borderId="34" xfId="0" applyFont="1" applyBorder="1"/>
    <xf numFmtId="9" fontId="16" fillId="0" borderId="0" xfId="0" applyNumberFormat="1" applyFont="1" applyAlignment="1">
      <alignment horizontal="center" vertical="center"/>
    </xf>
    <xf numFmtId="0" fontId="0" fillId="0" borderId="0" xfId="0"/>
    <xf numFmtId="0" fontId="6" fillId="0" borderId="2" xfId="0" applyFont="1" applyBorder="1" applyAlignment="1">
      <alignment horizontal="center" vertical="center"/>
    </xf>
    <xf numFmtId="0" fontId="7" fillId="0" borderId="3" xfId="0" applyFont="1" applyBorder="1"/>
    <xf numFmtId="0" fontId="7" fillId="0" borderId="36" xfId="0" applyFont="1" applyBorder="1"/>
    <xf numFmtId="0" fontId="13" fillId="0" borderId="62" xfId="0" applyFont="1" applyBorder="1" applyAlignment="1">
      <alignment horizontal="center" vertical="top"/>
    </xf>
    <xf numFmtId="0" fontId="7" fillId="0" borderId="63" xfId="0" applyFont="1" applyBorder="1"/>
    <xf numFmtId="0" fontId="7" fillId="0" borderId="64" xfId="0" applyFont="1" applyBorder="1"/>
    <xf numFmtId="0" fontId="7" fillId="0" borderId="67" xfId="0" applyFont="1" applyBorder="1"/>
    <xf numFmtId="0" fontId="7" fillId="0" borderId="68" xfId="0" applyFont="1" applyBorder="1"/>
    <xf numFmtId="0" fontId="7" fillId="0" borderId="71" xfId="0" applyFont="1" applyBorder="1"/>
    <xf numFmtId="0" fontId="7" fillId="0" borderId="72" xfId="0" applyFont="1" applyBorder="1"/>
    <xf numFmtId="0" fontId="7" fillId="0" borderId="73" xfId="0" applyFont="1" applyBorder="1"/>
    <xf numFmtId="0" fontId="13" fillId="6" borderId="94" xfId="0" applyFont="1" applyFill="1" applyBorder="1" applyAlignment="1">
      <alignment horizontal="left" vertical="top" wrapText="1"/>
    </xf>
    <xf numFmtId="0" fontId="7" fillId="0" borderId="80" xfId="0" applyFont="1" applyBorder="1"/>
    <xf numFmtId="0" fontId="7" fillId="0" borderId="81" xfId="0" applyFont="1" applyBorder="1"/>
    <xf numFmtId="0" fontId="28" fillId="5" borderId="62" xfId="0" applyFont="1" applyFill="1" applyBorder="1" applyAlignment="1">
      <alignment horizontal="center" vertical="center"/>
    </xf>
    <xf numFmtId="0" fontId="15" fillId="2" borderId="62" xfId="0" applyFont="1" applyFill="1" applyBorder="1" applyAlignment="1">
      <alignment horizontal="center" vertical="top" wrapText="1"/>
    </xf>
    <xf numFmtId="0" fontId="13" fillId="6" borderId="65" xfId="0" applyFont="1" applyFill="1" applyBorder="1" applyAlignment="1">
      <alignment horizontal="left" vertical="center" wrapText="1"/>
    </xf>
    <xf numFmtId="0" fontId="7" fillId="0" borderId="69" xfId="0" applyFont="1" applyBorder="1"/>
    <xf numFmtId="0" fontId="7" fillId="0" borderId="74" xfId="0" applyFont="1" applyBorder="1"/>
    <xf numFmtId="0" fontId="13" fillId="12" borderId="49" xfId="0" applyFont="1" applyFill="1" applyBorder="1" applyAlignment="1">
      <alignment horizontal="center"/>
    </xf>
    <xf numFmtId="0" fontId="15" fillId="2" borderId="62" xfId="0" applyFont="1" applyFill="1" applyBorder="1" applyAlignment="1">
      <alignment horizontal="left" vertical="top" wrapText="1"/>
    </xf>
    <xf numFmtId="0" fontId="13" fillId="12" borderId="49" xfId="0" applyFont="1" applyFill="1" applyBorder="1" applyAlignment="1">
      <alignment horizontal="center" vertical="top"/>
    </xf>
    <xf numFmtId="164" fontId="100" fillId="0" borderId="249" xfId="0" applyNumberFormat="1" applyFont="1" applyBorder="1" applyAlignment="1">
      <alignment horizontal="center"/>
    </xf>
    <xf numFmtId="164" fontId="100" fillId="0" borderId="250" xfId="0" applyNumberFormat="1" applyFont="1" applyBorder="1" applyAlignment="1">
      <alignment horizontal="center"/>
    </xf>
    <xf numFmtId="0" fontId="13" fillId="6" borderId="65" xfId="0" applyFont="1" applyFill="1" applyBorder="1" applyAlignment="1">
      <alignment horizontal="left" vertical="top" wrapText="1"/>
    </xf>
    <xf numFmtId="0" fontId="29" fillId="5" borderId="62" xfId="0" applyFont="1" applyFill="1" applyBorder="1" applyAlignment="1">
      <alignment horizontal="center" vertical="center"/>
    </xf>
    <xf numFmtId="0" fontId="13" fillId="12" borderId="15" xfId="0" applyFont="1" applyFill="1" applyBorder="1" applyAlignment="1">
      <alignment horizontal="center" vertical="center"/>
    </xf>
    <xf numFmtId="0" fontId="7" fillId="0" borderId="16" xfId="0" applyFont="1" applyBorder="1"/>
    <xf numFmtId="0" fontId="7" fillId="0" borderId="82" xfId="0" applyFont="1" applyBorder="1"/>
    <xf numFmtId="0" fontId="7" fillId="0" borderId="83" xfId="0" applyFont="1" applyBorder="1"/>
    <xf numFmtId="0" fontId="7" fillId="0" borderId="85" xfId="0" applyFont="1" applyBorder="1"/>
    <xf numFmtId="0" fontId="7" fillId="0" borderId="87" xfId="0" applyFont="1" applyBorder="1"/>
    <xf numFmtId="0" fontId="13" fillId="0" borderId="89" xfId="0" applyFont="1" applyBorder="1" applyAlignment="1">
      <alignment horizontal="center"/>
    </xf>
    <xf numFmtId="0" fontId="7" fillId="0" borderId="90" xfId="0" applyFont="1" applyBorder="1"/>
    <xf numFmtId="0" fontId="13" fillId="0" borderId="59" xfId="0" applyFont="1" applyBorder="1" applyAlignment="1">
      <alignment horizontal="center"/>
    </xf>
    <xf numFmtId="0" fontId="7" fillId="0" borderId="8" xfId="0" applyFont="1" applyBorder="1"/>
    <xf numFmtId="0" fontId="7" fillId="0" borderId="60" xfId="0" applyFont="1" applyBorder="1"/>
    <xf numFmtId="0" fontId="13" fillId="2" borderId="62" xfId="0" applyFont="1" applyFill="1" applyBorder="1" applyAlignment="1">
      <alignment horizontal="center" vertical="center"/>
    </xf>
    <xf numFmtId="0" fontId="13" fillId="12" borderId="49" xfId="0" applyFont="1" applyFill="1" applyBorder="1" applyAlignment="1">
      <alignment horizontal="center" vertical="center"/>
    </xf>
    <xf numFmtId="0" fontId="13" fillId="12" borderId="75" xfId="0" applyFont="1" applyFill="1" applyBorder="1" applyAlignment="1">
      <alignment horizontal="center" vertical="center"/>
    </xf>
    <xf numFmtId="0" fontId="7" fillId="0" borderId="76" xfId="0" applyFont="1" applyBorder="1"/>
    <xf numFmtId="0" fontId="7" fillId="0" borderId="77" xfId="0" applyFont="1" applyBorder="1"/>
    <xf numFmtId="0" fontId="13" fillId="6" borderId="78" xfId="0" applyFont="1" applyFill="1" applyBorder="1" applyAlignment="1">
      <alignment horizontal="left" vertical="top" wrapText="1"/>
    </xf>
    <xf numFmtId="0" fontId="25" fillId="11" borderId="56" xfId="0" applyFont="1" applyFill="1" applyBorder="1" applyAlignment="1">
      <alignment horizontal="center" vertical="center"/>
    </xf>
    <xf numFmtId="0" fontId="7" fillId="0" borderId="57" xfId="0" applyFont="1" applyBorder="1"/>
    <xf numFmtId="0" fontId="7" fillId="0" borderId="58" xfId="0" applyFont="1" applyBorder="1"/>
    <xf numFmtId="0" fontId="6" fillId="0" borderId="59" xfId="0" applyFont="1" applyBorder="1" applyAlignment="1">
      <alignment horizontal="center" vertical="center"/>
    </xf>
    <xf numFmtId="0" fontId="13" fillId="2" borderId="59" xfId="0" applyFont="1" applyFill="1" applyBorder="1" applyAlignment="1">
      <alignment horizontal="center" vertical="center"/>
    </xf>
    <xf numFmtId="0" fontId="33" fillId="11" borderId="95" xfId="0" applyFont="1" applyFill="1" applyBorder="1" applyAlignment="1">
      <alignment horizontal="center" vertical="center"/>
    </xf>
    <xf numFmtId="0" fontId="15" fillId="0" borderId="78" xfId="0" applyFont="1" applyBorder="1" applyAlignment="1">
      <alignment horizontal="center" vertical="center"/>
    </xf>
    <xf numFmtId="0" fontId="7" fillId="0" borderId="99" xfId="0" applyFont="1" applyBorder="1"/>
    <xf numFmtId="0" fontId="8" fillId="3" borderId="7" xfId="0" applyFont="1" applyFill="1" applyBorder="1" applyAlignment="1">
      <alignment horizontal="center" vertical="center"/>
    </xf>
    <xf numFmtId="0" fontId="7" fillId="0" borderId="98" xfId="0" applyFont="1" applyBorder="1"/>
    <xf numFmtId="0" fontId="15" fillId="0" borderId="94" xfId="0" applyFont="1" applyBorder="1" applyAlignment="1">
      <alignment horizontal="center" vertical="center"/>
    </xf>
    <xf numFmtId="0" fontId="15" fillId="0" borderId="80" xfId="0" applyFont="1" applyBorder="1" applyAlignment="1">
      <alignment horizontal="center" vertical="center"/>
    </xf>
    <xf numFmtId="0" fontId="36" fillId="2" borderId="65" xfId="0" applyFont="1" applyFill="1" applyBorder="1" applyAlignment="1">
      <alignment horizontal="center" vertical="top" wrapText="1"/>
    </xf>
    <xf numFmtId="0" fontId="6" fillId="0" borderId="214" xfId="0" applyFont="1" applyBorder="1" applyAlignment="1">
      <alignment horizontal="center" vertical="center"/>
    </xf>
    <xf numFmtId="0" fontId="7" fillId="0" borderId="214" xfId="0" applyFont="1" applyBorder="1"/>
    <xf numFmtId="0" fontId="6" fillId="2" borderId="249" xfId="0" applyFont="1" applyFill="1" applyBorder="1" applyAlignment="1">
      <alignment horizontal="center" vertical="center"/>
    </xf>
    <xf numFmtId="0" fontId="7" fillId="0" borderId="249" xfId="0" applyFont="1" applyBorder="1"/>
    <xf numFmtId="0" fontId="6" fillId="2" borderId="79" xfId="0" applyFont="1" applyFill="1" applyBorder="1" applyAlignment="1">
      <alignment horizontal="center" vertical="center" wrapText="1"/>
    </xf>
    <xf numFmtId="0" fontId="7" fillId="0" borderId="311" xfId="0" applyFont="1" applyBorder="1"/>
    <xf numFmtId="0" fontId="6" fillId="13" borderId="279" xfId="0" applyFont="1" applyFill="1" applyBorder="1" applyAlignment="1">
      <alignment horizontal="right" vertical="center"/>
    </xf>
    <xf numFmtId="0" fontId="7" fillId="0" borderId="297" xfId="0" applyFont="1" applyBorder="1"/>
    <xf numFmtId="0" fontId="8" fillId="15" borderId="118" xfId="0" applyFont="1" applyFill="1" applyBorder="1" applyAlignment="1">
      <alignment horizontal="right" vertical="center"/>
    </xf>
    <xf numFmtId="0" fontId="7" fillId="0" borderId="119" xfId="0" applyFont="1" applyBorder="1"/>
    <xf numFmtId="0" fontId="7" fillId="0" borderId="120" xfId="0" applyFont="1" applyBorder="1"/>
    <xf numFmtId="0" fontId="6" fillId="2" borderId="299" xfId="0" applyFont="1" applyFill="1" applyBorder="1" applyAlignment="1">
      <alignment horizontal="center" vertical="center" wrapText="1"/>
    </xf>
    <xf numFmtId="0" fontId="7" fillId="0" borderId="303" xfId="0" applyFont="1" applyBorder="1"/>
    <xf numFmtId="0" fontId="6" fillId="29" borderId="135" xfId="0" applyFont="1" applyFill="1" applyBorder="1" applyAlignment="1">
      <alignment horizontal="center" vertical="center"/>
    </xf>
    <xf numFmtId="0" fontId="6" fillId="29" borderId="138" xfId="0" applyFont="1" applyFill="1" applyBorder="1" applyAlignment="1">
      <alignment horizontal="center" vertical="center"/>
    </xf>
    <xf numFmtId="0" fontId="82" fillId="11" borderId="242" xfId="0" applyFont="1" applyFill="1" applyBorder="1" applyAlignment="1">
      <alignment horizontal="center" vertical="center"/>
    </xf>
    <xf numFmtId="0" fontId="82" fillId="11" borderId="240" xfId="0" applyFont="1" applyFill="1" applyBorder="1" applyAlignment="1">
      <alignment horizontal="center" vertical="center"/>
    </xf>
    <xf numFmtId="0" fontId="82" fillId="11" borderId="288" xfId="0" applyFont="1" applyFill="1" applyBorder="1" applyAlignment="1">
      <alignment horizontal="center" vertical="center"/>
    </xf>
    <xf numFmtId="0" fontId="6" fillId="0" borderId="302" xfId="0" applyFont="1" applyBorder="1" applyAlignment="1">
      <alignment horizontal="center" vertical="center" wrapText="1"/>
    </xf>
    <xf numFmtId="0" fontId="6" fillId="0" borderId="304" xfId="0" applyFont="1" applyBorder="1" applyAlignment="1">
      <alignment horizontal="center" vertical="center" wrapText="1"/>
    </xf>
    <xf numFmtId="0" fontId="6" fillId="16" borderId="290" xfId="0" applyFont="1" applyFill="1" applyBorder="1" applyAlignment="1">
      <alignment horizontal="center" vertical="center"/>
    </xf>
    <xf numFmtId="0" fontId="6" fillId="16" borderId="291" xfId="0" applyFont="1" applyFill="1" applyBorder="1" applyAlignment="1">
      <alignment horizontal="center" vertical="center"/>
    </xf>
    <xf numFmtId="0" fontId="6" fillId="16" borderId="292" xfId="0" applyFont="1" applyFill="1" applyBorder="1" applyAlignment="1">
      <alignment horizontal="center" vertical="center"/>
    </xf>
    <xf numFmtId="164" fontId="6" fillId="0" borderId="304" xfId="0" applyNumberFormat="1" applyFont="1" applyBorder="1" applyAlignment="1">
      <alignment horizontal="center" vertical="center" wrapText="1"/>
    </xf>
    <xf numFmtId="0" fontId="6" fillId="16" borderId="308" xfId="0" applyFont="1" applyFill="1" applyBorder="1" applyAlignment="1">
      <alignment horizontal="center" vertical="center"/>
    </xf>
    <xf numFmtId="0" fontId="6" fillId="16" borderId="236" xfId="0" applyFont="1" applyFill="1" applyBorder="1" applyAlignment="1">
      <alignment horizontal="center" vertical="center"/>
    </xf>
    <xf numFmtId="0" fontId="6" fillId="16" borderId="309" xfId="0" applyFont="1" applyFill="1" applyBorder="1" applyAlignment="1">
      <alignment horizontal="center" vertical="center"/>
    </xf>
    <xf numFmtId="2" fontId="6" fillId="0" borderId="304" xfId="0" applyNumberFormat="1" applyFont="1" applyBorder="1" applyAlignment="1">
      <alignment horizontal="center" vertical="center" wrapText="1"/>
    </xf>
    <xf numFmtId="2" fontId="6" fillId="0" borderId="312" xfId="0" applyNumberFormat="1" applyFont="1" applyBorder="1" applyAlignment="1">
      <alignment horizontal="center" vertical="center" wrapText="1"/>
    </xf>
    <xf numFmtId="0" fontId="11" fillId="2" borderId="135" xfId="0" applyFont="1" applyFill="1" applyBorder="1"/>
    <xf numFmtId="0" fontId="11" fillId="2" borderId="136" xfId="0" applyFont="1" applyFill="1" applyBorder="1"/>
    <xf numFmtId="0" fontId="11" fillId="2" borderId="123" xfId="0" applyFont="1" applyFill="1" applyBorder="1"/>
    <xf numFmtId="0" fontId="33" fillId="11" borderId="49" xfId="0" applyFont="1" applyFill="1" applyBorder="1" applyAlignment="1">
      <alignment horizontal="center"/>
    </xf>
    <xf numFmtId="0" fontId="22" fillId="16" borderId="59" xfId="0" applyFont="1" applyFill="1" applyBorder="1" applyAlignment="1">
      <alignment horizontal="center" vertical="center" wrapText="1"/>
    </xf>
    <xf numFmtId="0" fontId="22" fillId="16" borderId="123" xfId="0" applyFont="1" applyFill="1" applyBorder="1" applyAlignment="1">
      <alignment horizontal="center" vertical="center" wrapText="1"/>
    </xf>
    <xf numFmtId="0" fontId="22" fillId="13" borderId="118" xfId="0" applyFont="1" applyFill="1" applyBorder="1" applyAlignment="1">
      <alignment horizontal="right" vertical="center"/>
    </xf>
    <xf numFmtId="0" fontId="7" fillId="0" borderId="132" xfId="0" applyFont="1" applyBorder="1"/>
    <xf numFmtId="0" fontId="19" fillId="15" borderId="118" xfId="0" applyFont="1" applyFill="1" applyBorder="1" applyAlignment="1">
      <alignment horizontal="right" vertical="center"/>
    </xf>
    <xf numFmtId="0" fontId="7" fillId="0" borderId="133" xfId="0" applyFont="1" applyBorder="1"/>
    <xf numFmtId="0" fontId="11" fillId="2" borderId="264" xfId="0" applyFont="1" applyFill="1" applyBorder="1"/>
    <xf numFmtId="0" fontId="7" fillId="0" borderId="240" xfId="0" applyFont="1" applyBorder="1"/>
    <xf numFmtId="0" fontId="7" fillId="0" borderId="265" xfId="0" applyFont="1" applyBorder="1"/>
    <xf numFmtId="0" fontId="11" fillId="2" borderId="266" xfId="0" applyFont="1" applyFill="1" applyBorder="1"/>
    <xf numFmtId="0" fontId="7" fillId="0" borderId="267" xfId="0" applyFont="1" applyBorder="1"/>
    <xf numFmtId="0" fontId="7" fillId="0" borderId="268" xfId="0" applyFont="1" applyBorder="1"/>
    <xf numFmtId="0" fontId="11" fillId="2" borderId="261" xfId="0" applyFont="1" applyFill="1" applyBorder="1"/>
    <xf numFmtId="0" fontId="7" fillId="0" borderId="262" xfId="0" applyFont="1" applyBorder="1"/>
    <xf numFmtId="0" fontId="7" fillId="0" borderId="263" xfId="0" applyFont="1" applyBorder="1"/>
    <xf numFmtId="0" fontId="33" fillId="18" borderId="118" xfId="0" applyFont="1" applyFill="1" applyBorder="1" applyAlignment="1">
      <alignment horizontal="center"/>
    </xf>
    <xf numFmtId="0" fontId="13" fillId="2" borderId="138" xfId="0" applyFont="1" applyFill="1" applyBorder="1" applyAlignment="1">
      <alignment horizontal="left" vertical="top" wrapText="1"/>
    </xf>
    <xf numFmtId="0" fontId="7" fillId="0" borderId="139" xfId="0" applyFont="1" applyBorder="1" applyAlignment="1">
      <alignment vertical="top" wrapText="1"/>
    </xf>
    <xf numFmtId="0" fontId="13" fillId="0" borderId="62" xfId="0" applyFont="1" applyBorder="1" applyAlignment="1">
      <alignment horizontal="left" vertical="top" wrapText="1"/>
    </xf>
    <xf numFmtId="0" fontId="7" fillId="0" borderId="64" xfId="0" applyFont="1" applyBorder="1" applyAlignment="1">
      <alignment wrapText="1"/>
    </xf>
    <xf numFmtId="0" fontId="7" fillId="0" borderId="83" xfId="0" applyFont="1" applyBorder="1" applyAlignment="1">
      <alignment wrapText="1"/>
    </xf>
    <xf numFmtId="0" fontId="22" fillId="16" borderId="140" xfId="0" applyFont="1" applyFill="1" applyBorder="1" applyAlignment="1">
      <alignment horizontal="center" vertical="center" wrapText="1"/>
    </xf>
    <xf numFmtId="0" fontId="86" fillId="29" borderId="12" xfId="0" applyFont="1" applyFill="1" applyBorder="1" applyAlignment="1">
      <alignment horizontal="center" vertical="center"/>
    </xf>
    <xf numFmtId="0" fontId="86" fillId="29" borderId="140" xfId="0" applyFont="1" applyFill="1" applyBorder="1" applyAlignment="1">
      <alignment horizontal="center" vertical="center"/>
    </xf>
    <xf numFmtId="0" fontId="86" fillId="29" borderId="258" xfId="0" applyFont="1" applyFill="1" applyBorder="1" applyAlignment="1">
      <alignment horizontal="center" vertical="center"/>
    </xf>
    <xf numFmtId="0" fontId="84" fillId="29" borderId="229" xfId="0" applyFont="1" applyFill="1" applyBorder="1" applyAlignment="1">
      <alignment horizontal="center" vertical="center"/>
    </xf>
    <xf numFmtId="0" fontId="84" fillId="29" borderId="140" xfId="0" applyFont="1" applyFill="1" applyBorder="1" applyAlignment="1">
      <alignment horizontal="center" vertical="center"/>
    </xf>
    <xf numFmtId="0" fontId="84" fillId="29" borderId="258" xfId="0" applyFont="1" applyFill="1" applyBorder="1" applyAlignment="1">
      <alignment horizontal="center" vertical="center"/>
    </xf>
    <xf numFmtId="0" fontId="13" fillId="29" borderId="229" xfId="0" applyFont="1" applyFill="1" applyBorder="1" applyAlignment="1">
      <alignment horizontal="center" vertical="center"/>
    </xf>
    <xf numFmtId="0" fontId="85" fillId="31" borderId="12" xfId="0" applyFont="1" applyFill="1" applyBorder="1" applyAlignment="1">
      <alignment horizontal="center" vertical="center"/>
    </xf>
    <xf numFmtId="0" fontId="85" fillId="31" borderId="140" xfId="0" applyFont="1" applyFill="1" applyBorder="1" applyAlignment="1">
      <alignment horizontal="center" vertical="center"/>
    </xf>
    <xf numFmtId="0" fontId="85" fillId="31" borderId="258" xfId="0" applyFont="1" applyFill="1" applyBorder="1" applyAlignment="1">
      <alignment horizontal="center" vertical="center"/>
    </xf>
    <xf numFmtId="0" fontId="6" fillId="2" borderId="20" xfId="0" applyFont="1" applyFill="1" applyBorder="1" applyAlignment="1">
      <alignment horizontal="center" vertical="center"/>
    </xf>
    <xf numFmtId="164" fontId="8" fillId="15" borderId="156" xfId="0" applyNumberFormat="1" applyFont="1" applyFill="1" applyBorder="1" applyAlignment="1">
      <alignment horizontal="center" vertical="center"/>
    </xf>
    <xf numFmtId="0" fontId="33" fillId="11" borderId="49" xfId="0" applyFont="1" applyFill="1" applyBorder="1" applyAlignment="1">
      <alignment horizontal="center" vertical="center"/>
    </xf>
    <xf numFmtId="0" fontId="33" fillId="11" borderId="118" xfId="0" applyFont="1" applyFill="1" applyBorder="1" applyAlignment="1">
      <alignment horizontal="center"/>
    </xf>
    <xf numFmtId="0" fontId="33" fillId="0" borderId="119" xfId="0" applyFont="1" applyBorder="1"/>
    <xf numFmtId="0" fontId="33" fillId="0" borderId="132" xfId="0" applyFont="1" applyBorder="1"/>
    <xf numFmtId="0" fontId="33" fillId="0" borderId="142" xfId="0" applyFont="1" applyBorder="1" applyAlignment="1">
      <alignment horizontal="center" vertical="center"/>
    </xf>
    <xf numFmtId="0" fontId="33" fillId="2" borderId="143" xfId="0" applyFont="1" applyFill="1" applyBorder="1" applyAlignment="1">
      <alignment horizontal="center" vertical="center"/>
    </xf>
    <xf numFmtId="0" fontId="7" fillId="0" borderId="148" xfId="0" applyFont="1" applyBorder="1"/>
    <xf numFmtId="0" fontId="7" fillId="0" borderId="151" xfId="0" applyFont="1" applyBorder="1"/>
    <xf numFmtId="0" fontId="6" fillId="2" borderId="56"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152" xfId="0" applyFont="1" applyFill="1" applyBorder="1" applyAlignment="1">
      <alignment horizontal="center" vertical="center"/>
    </xf>
    <xf numFmtId="0" fontId="7" fillId="0" borderId="153" xfId="0" applyFont="1" applyBorder="1"/>
    <xf numFmtId="0" fontId="7" fillId="0" borderId="154" xfId="0" applyFont="1" applyBorder="1"/>
    <xf numFmtId="0" fontId="6" fillId="19" borderId="118" xfId="0" applyFont="1" applyFill="1" applyBorder="1" applyAlignment="1">
      <alignment horizontal="center" vertical="center"/>
    </xf>
    <xf numFmtId="2" fontId="6" fillId="13" borderId="118" xfId="0" applyNumberFormat="1" applyFont="1" applyFill="1" applyBorder="1" applyAlignment="1">
      <alignment horizontal="center" vertical="center"/>
    </xf>
    <xf numFmtId="2" fontId="7" fillId="0" borderId="132" xfId="0" applyNumberFormat="1" applyFont="1" applyBorder="1"/>
    <xf numFmtId="0" fontId="37" fillId="2" borderId="118" xfId="0" applyFont="1" applyFill="1" applyBorder="1" applyAlignment="1">
      <alignment horizontal="left"/>
    </xf>
    <xf numFmtId="0" fontId="33" fillId="11" borderId="20" xfId="0" applyFont="1" applyFill="1" applyBorder="1" applyAlignment="1">
      <alignment horizontal="center" vertical="center"/>
    </xf>
    <xf numFmtId="0" fontId="82" fillId="11" borderId="118" xfId="0" applyFont="1" applyFill="1" applyBorder="1" applyAlignment="1">
      <alignment horizontal="center"/>
    </xf>
    <xf numFmtId="0" fontId="101" fillId="0" borderId="119" xfId="0" applyFont="1" applyBorder="1"/>
    <xf numFmtId="0" fontId="101" fillId="0" borderId="132" xfId="0" applyFont="1" applyBorder="1"/>
    <xf numFmtId="0" fontId="5" fillId="2" borderId="91" xfId="0" applyFont="1" applyFill="1" applyBorder="1" applyAlignment="1">
      <alignment horizontal="center" vertical="center"/>
    </xf>
    <xf numFmtId="0" fontId="7" fillId="0" borderId="92" xfId="0" applyFont="1" applyBorder="1"/>
    <xf numFmtId="0" fontId="6" fillId="16" borderId="59" xfId="0" applyFont="1" applyFill="1" applyBorder="1" applyAlignment="1">
      <alignment horizontal="center" vertical="center"/>
    </xf>
    <xf numFmtId="0" fontId="6" fillId="16" borderId="59" xfId="0" applyFont="1" applyFill="1" applyBorder="1" applyAlignment="1">
      <alignment horizontal="center" vertical="center" wrapText="1"/>
    </xf>
    <xf numFmtId="0" fontId="5" fillId="0" borderId="63" xfId="0" applyFont="1" applyBorder="1" applyAlignment="1">
      <alignment horizontal="center"/>
    </xf>
    <xf numFmtId="0" fontId="5" fillId="0" borderId="91" xfId="0" applyFont="1" applyBorder="1" applyAlignment="1">
      <alignment horizontal="center" vertical="center"/>
    </xf>
    <xf numFmtId="0" fontId="7" fillId="0" borderId="79" xfId="0" applyFont="1" applyBorder="1"/>
    <xf numFmtId="0" fontId="15" fillId="0" borderId="91" xfId="0" applyFont="1" applyBorder="1" applyAlignment="1">
      <alignment vertical="top" wrapText="1"/>
    </xf>
    <xf numFmtId="0" fontId="13" fillId="0" borderId="78" xfId="0" applyFont="1" applyBorder="1" applyAlignment="1">
      <alignment horizontal="center" vertical="center" wrapText="1"/>
    </xf>
    <xf numFmtId="0" fontId="22" fillId="13" borderId="118" xfId="0" applyFont="1" applyFill="1" applyBorder="1" applyAlignment="1">
      <alignment horizontal="right" vertical="center" wrapText="1"/>
    </xf>
    <xf numFmtId="164" fontId="22" fillId="13" borderId="118" xfId="0" applyNumberFormat="1" applyFont="1" applyFill="1" applyBorder="1" applyAlignment="1">
      <alignment horizontal="center" vertical="center" wrapText="1"/>
    </xf>
    <xf numFmtId="0" fontId="19" fillId="15" borderId="118" xfId="0" applyFont="1" applyFill="1" applyBorder="1" applyAlignment="1">
      <alignment horizontal="right" vertical="center" wrapText="1"/>
    </xf>
    <xf numFmtId="164" fontId="19" fillId="15" borderId="156" xfId="0" applyNumberFormat="1" applyFont="1" applyFill="1" applyBorder="1" applyAlignment="1">
      <alignment horizontal="center" vertical="center" wrapText="1"/>
    </xf>
    <xf numFmtId="0" fontId="42" fillId="0" borderId="62" xfId="0" applyFont="1" applyBorder="1" applyAlignment="1">
      <alignment horizontal="left" vertical="center" wrapText="1"/>
    </xf>
    <xf numFmtId="0" fontId="91" fillId="15" borderId="118" xfId="0" applyFont="1" applyFill="1" applyBorder="1" applyAlignment="1">
      <alignment horizontal="right" vertical="center"/>
    </xf>
    <xf numFmtId="0" fontId="7" fillId="0" borderId="119" xfId="0" applyFont="1" applyBorder="1" applyAlignment="1">
      <alignment horizontal="right"/>
    </xf>
    <xf numFmtId="0" fontId="15" fillId="0" borderId="163" xfId="0" applyFont="1" applyBorder="1" applyAlignment="1">
      <alignment horizontal="left" vertical="center" wrapText="1"/>
    </xf>
    <xf numFmtId="0" fontId="7" fillId="0" borderId="164" xfId="0" applyFont="1" applyBorder="1"/>
    <xf numFmtId="0" fontId="7" fillId="0" borderId="168" xfId="0" applyFont="1" applyBorder="1"/>
    <xf numFmtId="0" fontId="7" fillId="0" borderId="169" xfId="0" applyFont="1" applyBorder="1"/>
    <xf numFmtId="0" fontId="15" fillId="0" borderId="62" xfId="0" applyFont="1" applyBorder="1" applyAlignment="1">
      <alignment horizontal="left" vertical="center" wrapText="1"/>
    </xf>
    <xf numFmtId="0" fontId="7" fillId="0" borderId="170" xfId="0" applyFont="1" applyBorder="1"/>
    <xf numFmtId="0" fontId="15" fillId="0" borderId="172" xfId="0" applyFont="1" applyBorder="1" applyAlignment="1">
      <alignment horizontal="left" vertical="top" wrapText="1"/>
    </xf>
    <xf numFmtId="0" fontId="7" fillId="0" borderId="173" xfId="0" applyFont="1" applyBorder="1"/>
    <xf numFmtId="0" fontId="13" fillId="0" borderId="118" xfId="0" applyFont="1" applyBorder="1" applyAlignment="1">
      <alignment horizontal="left" vertical="top" wrapText="1"/>
    </xf>
    <xf numFmtId="0" fontId="41" fillId="0" borderId="174" xfId="0" applyFont="1" applyBorder="1" applyAlignment="1">
      <alignment horizontal="left" vertical="center" wrapText="1"/>
    </xf>
    <xf numFmtId="0" fontId="102" fillId="32" borderId="241" xfId="0" applyFont="1" applyFill="1" applyBorder="1" applyAlignment="1">
      <alignment horizontal="center" vertical="center" wrapText="1"/>
    </xf>
    <xf numFmtId="0" fontId="102" fillId="32" borderId="145" xfId="0" applyFont="1" applyFill="1" applyBorder="1" applyAlignment="1">
      <alignment horizontal="center" vertical="center" wrapText="1"/>
    </xf>
    <xf numFmtId="0" fontId="102" fillId="32" borderId="212" xfId="0" applyFont="1" applyFill="1" applyBorder="1" applyAlignment="1">
      <alignment horizontal="center" vertical="center" wrapText="1"/>
    </xf>
    <xf numFmtId="0" fontId="10" fillId="2" borderId="49" xfId="0" applyFont="1" applyFill="1" applyBorder="1" applyAlignment="1">
      <alignment horizontal="left"/>
    </xf>
    <xf numFmtId="0" fontId="13" fillId="0" borderId="174" xfId="0" applyFont="1" applyBorder="1" applyAlignment="1">
      <alignment horizontal="center" vertical="center"/>
    </xf>
    <xf numFmtId="0" fontId="7" fillId="0" borderId="178" xfId="0" applyFont="1" applyBorder="1"/>
    <xf numFmtId="0" fontId="22" fillId="2" borderId="62" xfId="0" applyFont="1" applyFill="1" applyBorder="1" applyAlignment="1">
      <alignment horizontal="center" vertical="center" wrapText="1"/>
    </xf>
    <xf numFmtId="0" fontId="10" fillId="2" borderId="17" xfId="0" applyFont="1" applyFill="1" applyBorder="1" applyAlignment="1">
      <alignment horizontal="left"/>
    </xf>
    <xf numFmtId="0" fontId="7" fillId="0" borderId="198" xfId="0" applyFont="1" applyBorder="1"/>
    <xf numFmtId="0" fontId="15" fillId="2" borderId="20" xfId="0" applyFont="1" applyFill="1" applyBorder="1" applyAlignment="1">
      <alignment horizontal="center"/>
    </xf>
    <xf numFmtId="0" fontId="15" fillId="2" borderId="194" xfId="0" applyFont="1" applyFill="1" applyBorder="1" applyAlignment="1">
      <alignment horizontal="left" vertical="top" wrapText="1"/>
    </xf>
    <xf numFmtId="0" fontId="7" fillId="0" borderId="176" xfId="0" applyFont="1" applyBorder="1"/>
    <xf numFmtId="0" fontId="7" fillId="0" borderId="195" xfId="0" applyFont="1" applyBorder="1"/>
    <xf numFmtId="0" fontId="8" fillId="15" borderId="56" xfId="0" applyFont="1" applyFill="1" applyBorder="1" applyAlignment="1">
      <alignment horizontal="right" vertical="center"/>
    </xf>
    <xf numFmtId="0" fontId="7" fillId="0" borderId="196" xfId="0" applyFont="1" applyBorder="1"/>
    <xf numFmtId="164" fontId="19" fillId="15" borderId="197" xfId="0" applyNumberFormat="1" applyFont="1" applyFill="1" applyBorder="1" applyAlignment="1">
      <alignment horizontal="center" vertical="center"/>
    </xf>
    <xf numFmtId="0" fontId="6" fillId="13" borderId="118" xfId="0" applyFont="1" applyFill="1" applyBorder="1" applyAlignment="1">
      <alignment horizontal="right" vertical="center"/>
    </xf>
    <xf numFmtId="164" fontId="22" fillId="13" borderId="118" xfId="0" applyNumberFormat="1" applyFont="1" applyFill="1" applyBorder="1" applyAlignment="1">
      <alignment horizontal="center" vertical="center"/>
    </xf>
    <xf numFmtId="0" fontId="43" fillId="18" borderId="118" xfId="0" applyFont="1" applyFill="1" applyBorder="1" applyAlignment="1">
      <alignment horizontal="center"/>
    </xf>
    <xf numFmtId="0" fontId="82" fillId="11" borderId="118" xfId="0" applyFont="1" applyFill="1" applyBorder="1" applyAlignment="1">
      <alignment horizontal="center" vertical="center"/>
    </xf>
    <xf numFmtId="0" fontId="82" fillId="11" borderId="236" xfId="0" applyFont="1" applyFill="1" applyBorder="1" applyAlignment="1">
      <alignment horizontal="center" vertical="center"/>
    </xf>
    <xf numFmtId="0" fontId="33" fillId="2" borderId="20" xfId="0" applyFont="1" applyFill="1" applyBorder="1" applyAlignment="1">
      <alignment horizontal="center"/>
    </xf>
    <xf numFmtId="0" fontId="43" fillId="20" borderId="56" xfId="0" applyFont="1" applyFill="1" applyBorder="1" applyAlignment="1">
      <alignment horizontal="center"/>
    </xf>
    <xf numFmtId="0" fontId="5" fillId="2" borderId="175" xfId="0" applyFont="1" applyFill="1" applyBorder="1" applyAlignment="1">
      <alignment horizontal="center"/>
    </xf>
    <xf numFmtId="0" fontId="7" fillId="0" borderId="177" xfId="0" applyFont="1" applyBorder="1"/>
    <xf numFmtId="0" fontId="7" fillId="0" borderId="142" xfId="0" applyFont="1" applyBorder="1"/>
    <xf numFmtId="0" fontId="7" fillId="0" borderId="191" xfId="0" applyFont="1" applyBorder="1"/>
    <xf numFmtId="0" fontId="7" fillId="0" borderId="192" xfId="0" applyFont="1" applyBorder="1"/>
    <xf numFmtId="0" fontId="7" fillId="0" borderId="193" xfId="0" applyFont="1" applyBorder="1"/>
    <xf numFmtId="0" fontId="22" fillId="16" borderId="135" xfId="0" applyFont="1" applyFill="1" applyBorder="1" applyAlignment="1">
      <alignment horizontal="center" vertical="center" wrapText="1"/>
    </xf>
    <xf numFmtId="0" fontId="7" fillId="0" borderId="139" xfId="0" applyFont="1" applyBorder="1"/>
    <xf numFmtId="0" fontId="22" fillId="16" borderId="138" xfId="0" applyFont="1" applyFill="1" applyBorder="1" applyAlignment="1">
      <alignment horizontal="center" vertical="center" wrapText="1"/>
    </xf>
    <xf numFmtId="0" fontId="10" fillId="0" borderId="59" xfId="0" applyFont="1" applyBorder="1" applyAlignment="1">
      <alignment horizontal="left" vertical="top" wrapText="1"/>
    </xf>
    <xf numFmtId="0" fontId="22" fillId="0" borderId="59" xfId="0" applyFont="1" applyBorder="1" applyAlignment="1">
      <alignment horizontal="center" vertical="center" wrapText="1"/>
    </xf>
    <xf numFmtId="0" fontId="6" fillId="0" borderId="135" xfId="0" applyFont="1" applyBorder="1" applyAlignment="1">
      <alignment horizontal="left" vertical="top" wrapText="1"/>
    </xf>
    <xf numFmtId="0" fontId="7" fillId="0" borderId="138" xfId="0" applyFont="1" applyBorder="1"/>
    <xf numFmtId="0" fontId="1" fillId="0" borderId="240" xfId="0" applyFont="1" applyBorder="1"/>
    <xf numFmtId="0" fontId="7" fillId="0" borderId="123" xfId="0" applyFont="1" applyBorder="1"/>
    <xf numFmtId="0" fontId="7" fillId="0" borderId="237" xfId="0" applyFont="1" applyBorder="1"/>
    <xf numFmtId="0" fontId="12" fillId="30" borderId="242" xfId="0" applyFont="1" applyFill="1" applyBorder="1" applyAlignment="1">
      <alignment horizontal="center" vertical="center"/>
    </xf>
    <xf numFmtId="0" fontId="12" fillId="30" borderId="240" xfId="0" applyFont="1" applyFill="1" applyBorder="1" applyAlignment="1">
      <alignment horizontal="center" vertical="center"/>
    </xf>
    <xf numFmtId="0" fontId="12" fillId="30" borderId="210" xfId="0" applyFont="1" applyFill="1" applyBorder="1" applyAlignment="1">
      <alignment horizontal="center" vertical="center"/>
    </xf>
    <xf numFmtId="164" fontId="19" fillId="15" borderId="206" xfId="0" applyNumberFormat="1" applyFont="1" applyFill="1" applyBorder="1" applyAlignment="1">
      <alignment horizontal="center" vertical="center"/>
    </xf>
    <xf numFmtId="0" fontId="10" fillId="2" borderId="56" xfId="0" applyFont="1" applyFill="1" applyBorder="1" applyAlignment="1">
      <alignment horizontal="left"/>
    </xf>
    <xf numFmtId="0" fontId="13" fillId="0" borderId="199" xfId="0" applyFont="1" applyBorder="1" applyAlignment="1">
      <alignment horizontal="center" vertical="top"/>
    </xf>
    <xf numFmtId="0" fontId="7" fillId="0" borderId="104" xfId="0" applyFont="1" applyBorder="1"/>
    <xf numFmtId="0" fontId="15" fillId="2" borderId="165" xfId="0" applyFont="1" applyFill="1" applyBorder="1" applyAlignment="1">
      <alignment horizontal="center" vertical="center"/>
    </xf>
    <xf numFmtId="0" fontId="7" fillId="0" borderId="166" xfId="0" applyFont="1" applyBorder="1"/>
    <xf numFmtId="0" fontId="46" fillId="0" borderId="62" xfId="0" applyFont="1" applyBorder="1" applyAlignment="1">
      <alignment horizontal="left" vertical="center" wrapText="1"/>
    </xf>
    <xf numFmtId="0" fontId="46" fillId="0" borderId="62" xfId="0" applyFont="1" applyBorder="1" applyAlignment="1">
      <alignment horizontal="center" vertical="center" wrapText="1" readingOrder="1"/>
    </xf>
    <xf numFmtId="0" fontId="43" fillId="18" borderId="95" xfId="0" applyFont="1" applyFill="1" applyBorder="1" applyAlignment="1">
      <alignment horizontal="center" vertical="center"/>
    </xf>
    <xf numFmtId="0" fontId="13" fillId="12" borderId="7" xfId="0" applyFont="1" applyFill="1" applyBorder="1" applyAlignment="1">
      <alignment horizontal="left" vertical="center"/>
    </xf>
    <xf numFmtId="0" fontId="15" fillId="6" borderId="212" xfId="0" applyFont="1" applyFill="1" applyBorder="1" applyAlignment="1">
      <alignment horizontal="left" vertical="top" wrapText="1"/>
    </xf>
    <xf numFmtId="0" fontId="7" fillId="0" borderId="213" xfId="0" applyFont="1" applyBorder="1"/>
    <xf numFmtId="0" fontId="94" fillId="0" borderId="165" xfId="0" applyFont="1" applyBorder="1" applyAlignment="1">
      <alignment horizontal="left" vertical="center" wrapText="1"/>
    </xf>
    <xf numFmtId="0" fontId="100" fillId="0" borderId="45" xfId="0" applyFont="1" applyBorder="1"/>
    <xf numFmtId="0" fontId="100" fillId="0" borderId="166" xfId="0" applyFont="1" applyBorder="1"/>
    <xf numFmtId="0" fontId="100" fillId="0" borderId="142" xfId="0" applyFont="1" applyBorder="1"/>
    <xf numFmtId="0" fontId="95" fillId="0" borderId="0" xfId="0" applyFont="1"/>
    <xf numFmtId="0" fontId="100" fillId="0" borderId="85" xfId="0" applyFont="1" applyBorder="1"/>
    <xf numFmtId="0" fontId="100" fillId="0" borderId="191" xfId="0" applyFont="1" applyBorder="1"/>
    <xf numFmtId="0" fontId="100" fillId="0" borderId="192" xfId="0" applyFont="1" applyBorder="1"/>
    <xf numFmtId="0" fontId="100" fillId="0" borderId="193" xfId="0" applyFont="1" applyBorder="1"/>
    <xf numFmtId="0" fontId="15" fillId="2" borderId="78" xfId="0" applyFont="1" applyFill="1" applyBorder="1" applyAlignment="1">
      <alignment horizontal="left" vertical="top" wrapText="1"/>
    </xf>
    <xf numFmtId="0" fontId="13" fillId="23" borderId="222" xfId="0" applyFont="1" applyFill="1" applyBorder="1" applyAlignment="1">
      <alignment horizontal="center" vertical="center" wrapText="1"/>
    </xf>
    <xf numFmtId="0" fontId="15" fillId="6" borderId="209" xfId="0" applyFont="1" applyFill="1" applyBorder="1" applyAlignment="1">
      <alignment horizontal="left" vertical="top" wrapText="1"/>
    </xf>
    <xf numFmtId="0" fontId="7" fillId="0" borderId="210" xfId="0" applyFont="1" applyBorder="1"/>
    <xf numFmtId="0" fontId="7" fillId="0" borderId="211" xfId="0" applyFont="1" applyBorder="1"/>
    <xf numFmtId="0" fontId="13" fillId="12" borderId="7" xfId="0" applyFont="1" applyFill="1" applyBorder="1" applyAlignment="1">
      <alignment horizontal="left" vertical="center" wrapText="1"/>
    </xf>
    <xf numFmtId="0" fontId="36" fillId="21" borderId="209" xfId="0" applyFont="1" applyFill="1" applyBorder="1" applyAlignment="1">
      <alignment horizontal="left" vertical="top" wrapText="1"/>
    </xf>
    <xf numFmtId="0" fontId="106" fillId="2" borderId="59" xfId="0" applyFont="1" applyFill="1" applyBorder="1" applyAlignment="1">
      <alignment horizontal="left" wrapText="1"/>
    </xf>
    <xf numFmtId="0" fontId="105" fillId="0" borderId="8" xfId="0" applyFont="1" applyBorder="1"/>
    <xf numFmtId="0" fontId="105" fillId="0" borderId="60" xfId="0" applyFont="1" applyBorder="1"/>
    <xf numFmtId="0" fontId="13" fillId="2" borderId="15" xfId="0" applyFont="1" applyFill="1" applyBorder="1" applyAlignment="1">
      <alignment horizontal="left" vertical="center" wrapText="1"/>
    </xf>
    <xf numFmtId="0" fontId="5" fillId="2" borderId="165" xfId="0" applyFont="1" applyFill="1" applyBorder="1" applyAlignment="1">
      <alignment horizontal="left" vertical="top" wrapText="1"/>
    </xf>
    <xf numFmtId="0" fontId="15" fillId="6" borderId="65" xfId="0" applyFont="1" applyFill="1" applyBorder="1" applyAlignment="1">
      <alignment horizontal="left" vertical="top" wrapText="1"/>
    </xf>
    <xf numFmtId="164" fontId="13" fillId="0" borderId="62" xfId="0" applyNumberFormat="1" applyFont="1" applyBorder="1" applyAlignment="1">
      <alignment horizontal="center" vertical="center"/>
    </xf>
    <xf numFmtId="164" fontId="13" fillId="0" borderId="91" xfId="0" applyNumberFormat="1" applyFont="1" applyBorder="1" applyAlignment="1">
      <alignment horizontal="center" vertical="center"/>
    </xf>
    <xf numFmtId="0" fontId="7" fillId="0" borderId="215" xfId="0" applyFont="1" applyBorder="1"/>
    <xf numFmtId="0" fontId="102" fillId="11" borderId="56" xfId="0" applyFont="1" applyFill="1" applyBorder="1" applyAlignment="1">
      <alignment horizontal="center" vertical="center" wrapText="1"/>
    </xf>
    <xf numFmtId="0" fontId="103" fillId="0" borderId="57" xfId="0" applyFont="1" applyBorder="1"/>
    <xf numFmtId="0" fontId="103" fillId="0" borderId="58" xfId="0" applyFont="1" applyBorder="1"/>
    <xf numFmtId="0" fontId="13" fillId="2" borderId="207" xfId="0" applyFont="1" applyFill="1" applyBorder="1" applyAlignment="1">
      <alignment horizontal="center" vertical="center"/>
    </xf>
    <xf numFmtId="0" fontId="7" fillId="0" borderId="208" xfId="0" applyFont="1" applyBorder="1"/>
    <xf numFmtId="0" fontId="51" fillId="2" borderId="17" xfId="0" applyFont="1" applyFill="1" applyBorder="1"/>
    <xf numFmtId="2" fontId="22" fillId="13" borderId="118" xfId="0" applyNumberFormat="1" applyFont="1" applyFill="1" applyBorder="1" applyAlignment="1">
      <alignment horizontal="center" vertical="center"/>
    </xf>
    <xf numFmtId="0" fontId="50" fillId="2" borderId="20" xfId="0" applyFont="1" applyFill="1" applyBorder="1" applyAlignment="1">
      <alignment horizontal="center"/>
    </xf>
    <xf numFmtId="0" fontId="51" fillId="2" borderId="56" xfId="0" applyFont="1" applyFill="1" applyBorder="1"/>
    <xf numFmtId="0" fontId="15" fillId="2" borderId="212" xfId="0" applyFont="1" applyFill="1" applyBorder="1" applyAlignment="1">
      <alignment horizontal="center" vertical="center"/>
    </xf>
    <xf numFmtId="0" fontId="23" fillId="0" borderId="59" xfId="0" applyFont="1" applyBorder="1" applyAlignment="1">
      <alignment horizontal="left" vertical="top" wrapText="1" readingOrder="1"/>
    </xf>
    <xf numFmtId="0" fontId="82" fillId="11" borderId="236" xfId="0" applyFont="1" applyFill="1" applyBorder="1" applyAlignment="1">
      <alignment horizontal="center"/>
    </xf>
    <xf numFmtId="0" fontId="13" fillId="2" borderId="241" xfId="0" applyFont="1" applyFill="1" applyBorder="1" applyAlignment="1">
      <alignment horizontal="left" vertical="center"/>
    </xf>
    <xf numFmtId="0" fontId="13" fillId="2" borderId="145" xfId="0" applyFont="1" applyFill="1" applyBorder="1" applyAlignment="1">
      <alignment horizontal="left" vertical="center"/>
    </xf>
    <xf numFmtId="0" fontId="13" fillId="2" borderId="212" xfId="0" applyFont="1" applyFill="1" applyBorder="1" applyAlignment="1">
      <alignment horizontal="left" vertical="center"/>
    </xf>
    <xf numFmtId="0" fontId="13" fillId="2" borderId="242" xfId="0" applyFont="1" applyFill="1" applyBorder="1" applyAlignment="1">
      <alignment horizontal="left" vertical="center"/>
    </xf>
    <xf numFmtId="0" fontId="13" fillId="2" borderId="240" xfId="0" applyFont="1" applyFill="1" applyBorder="1" applyAlignment="1">
      <alignment horizontal="left" vertical="center"/>
    </xf>
    <xf numFmtId="0" fontId="13" fillId="2" borderId="210" xfId="0" applyFont="1" applyFill="1" applyBorder="1" applyAlignment="1">
      <alignment horizontal="left" vertical="center"/>
    </xf>
    <xf numFmtId="0" fontId="13" fillId="2" borderId="243" xfId="0" applyFont="1" applyFill="1" applyBorder="1" applyAlignment="1">
      <alignment horizontal="left" vertical="center"/>
    </xf>
    <xf numFmtId="0" fontId="13" fillId="2" borderId="244" xfId="0" applyFont="1" applyFill="1" applyBorder="1" applyAlignment="1">
      <alignment horizontal="left" vertical="center"/>
    </xf>
    <xf numFmtId="0" fontId="13" fillId="2" borderId="213" xfId="0" applyFont="1" applyFill="1" applyBorder="1" applyAlignment="1">
      <alignment horizontal="left" vertical="center"/>
    </xf>
    <xf numFmtId="0" fontId="51" fillId="2" borderId="49" xfId="0" applyFont="1" applyFill="1" applyBorder="1"/>
    <xf numFmtId="0" fontId="33" fillId="18" borderId="2" xfId="0" applyFont="1" applyFill="1" applyBorder="1" applyAlignment="1">
      <alignment horizontal="center"/>
    </xf>
    <xf numFmtId="0" fontId="6" fillId="2" borderId="225" xfId="0" applyFont="1" applyFill="1" applyBorder="1" applyAlignment="1">
      <alignment horizontal="center" vertical="top"/>
    </xf>
    <xf numFmtId="0" fontId="6" fillId="0" borderId="8" xfId="0" applyFont="1" applyBorder="1" applyAlignment="1">
      <alignment horizontal="left" vertical="top" wrapText="1"/>
    </xf>
    <xf numFmtId="164" fontId="7" fillId="0" borderId="132" xfId="0" applyNumberFormat="1" applyFont="1" applyBorder="1"/>
    <xf numFmtId="164" fontId="19" fillId="15" borderId="118" xfId="0" applyNumberFormat="1" applyFont="1" applyFill="1" applyBorder="1" applyAlignment="1">
      <alignment horizontal="center" vertical="center"/>
    </xf>
    <xf numFmtId="0" fontId="56" fillId="2" borderId="212" xfId="0" applyFont="1" applyFill="1" applyBorder="1" applyAlignment="1">
      <alignment horizontal="center" vertical="center"/>
    </xf>
    <xf numFmtId="0" fontId="33" fillId="18" borderId="123" xfId="0" applyFont="1" applyFill="1" applyBorder="1" applyAlignment="1">
      <alignment horizontal="center"/>
    </xf>
    <xf numFmtId="0" fontId="82" fillId="11" borderId="118" xfId="0" applyFont="1" applyFill="1" applyBorder="1" applyAlignment="1">
      <alignment vertical="center"/>
    </xf>
    <xf numFmtId="0" fontId="82" fillId="11" borderId="236" xfId="0" applyFont="1" applyFill="1" applyBorder="1" applyAlignment="1">
      <alignment vertical="center"/>
    </xf>
    <xf numFmtId="0" fontId="82" fillId="11" borderId="132" xfId="0" applyFont="1" applyFill="1" applyBorder="1" applyAlignment="1">
      <alignment vertical="center"/>
    </xf>
    <xf numFmtId="0" fontId="6" fillId="2" borderId="93" xfId="0" applyFont="1" applyFill="1" applyBorder="1" applyAlignment="1">
      <alignment horizontal="center" vertical="top"/>
    </xf>
    <xf numFmtId="0" fontId="7" fillId="0" borderId="112" xfId="0" applyFont="1" applyBorder="1"/>
    <xf numFmtId="0" fontId="6" fillId="0" borderId="8" xfId="0" applyFont="1" applyBorder="1" applyAlignment="1">
      <alignment horizontal="center" vertical="center" wrapText="1"/>
    </xf>
    <xf numFmtId="0" fontId="6" fillId="0" borderId="59" xfId="0" applyFont="1" applyBorder="1" applyAlignment="1">
      <alignment horizontal="center" vertical="center" wrapText="1"/>
    </xf>
    <xf numFmtId="0" fontId="23" fillId="0" borderId="59" xfId="0" applyFont="1" applyBorder="1" applyAlignment="1">
      <alignment horizontal="center" vertical="center" wrapText="1" readingOrder="1"/>
    </xf>
    <xf numFmtId="0" fontId="10" fillId="2" borderId="243" xfId="0" applyFont="1" applyFill="1" applyBorder="1"/>
    <xf numFmtId="0" fontId="10" fillId="2" borderId="244" xfId="0" applyFont="1" applyFill="1" applyBorder="1"/>
    <xf numFmtId="0" fontId="10" fillId="2" borderId="213" xfId="0" applyFont="1" applyFill="1" applyBorder="1"/>
    <xf numFmtId="0" fontId="86" fillId="31" borderId="12" xfId="0" applyFont="1" applyFill="1" applyBorder="1" applyAlignment="1">
      <alignment horizontal="center" vertical="center"/>
    </xf>
    <xf numFmtId="0" fontId="22" fillId="31" borderId="12" xfId="0" applyFont="1" applyFill="1" applyBorder="1" applyAlignment="1">
      <alignment horizontal="center" vertical="center"/>
    </xf>
    <xf numFmtId="0" fontId="7" fillId="0" borderId="132" xfId="0" applyFont="1" applyBorder="1" applyAlignment="1">
      <alignment horizontal="center"/>
    </xf>
    <xf numFmtId="0" fontId="7" fillId="0" borderId="236" xfId="0" applyFont="1" applyBorder="1"/>
    <xf numFmtId="0" fontId="10" fillId="2" borderId="241" xfId="0" applyFont="1" applyFill="1" applyBorder="1"/>
    <xf numFmtId="0" fontId="10" fillId="2" borderId="145" xfId="0" applyFont="1" applyFill="1" applyBorder="1"/>
    <xf numFmtId="0" fontId="10" fillId="2" borderId="212" xfId="0" applyFont="1" applyFill="1" applyBorder="1"/>
    <xf numFmtId="0" fontId="10" fillId="2" borderId="242" xfId="0" applyFont="1" applyFill="1" applyBorder="1"/>
    <xf numFmtId="0" fontId="10" fillId="2" borderId="240" xfId="0" applyFont="1" applyFill="1" applyBorder="1"/>
    <xf numFmtId="0" fontId="10" fillId="2" borderId="210" xfId="0" applyFont="1" applyFill="1" applyBorder="1"/>
    <xf numFmtId="164" fontId="19" fillId="15" borderId="317" xfId="0" applyNumberFormat="1" applyFont="1" applyFill="1" applyBorder="1" applyAlignment="1">
      <alignment horizontal="center" vertical="center"/>
    </xf>
    <xf numFmtId="164" fontId="19" fillId="15" borderId="273" xfId="0" applyNumberFormat="1" applyFont="1" applyFill="1" applyBorder="1" applyAlignment="1">
      <alignment horizontal="center" vertical="center"/>
    </xf>
    <xf numFmtId="0" fontId="33" fillId="18" borderId="56" xfId="0" applyFont="1" applyFill="1" applyBorder="1" applyAlignment="1">
      <alignment horizontal="center"/>
    </xf>
    <xf numFmtId="0" fontId="82" fillId="28" borderId="118" xfId="0" applyFont="1" applyFill="1" applyBorder="1" applyAlignment="1">
      <alignment horizontal="center" vertical="center"/>
    </xf>
    <xf numFmtId="0" fontId="83" fillId="33" borderId="119" xfId="0" applyFont="1" applyFill="1" applyBorder="1"/>
    <xf numFmtId="0" fontId="83" fillId="33" borderId="132" xfId="0" applyFont="1" applyFill="1" applyBorder="1"/>
    <xf numFmtId="0" fontId="6" fillId="0" borderId="7" xfId="0" applyFont="1" applyBorder="1" applyAlignment="1">
      <alignment horizontal="center" vertical="center" wrapText="1"/>
    </xf>
    <xf numFmtId="0" fontId="82" fillId="11" borderId="56" xfId="0" applyFont="1" applyFill="1" applyBorder="1" applyAlignment="1">
      <alignment horizontal="center"/>
    </xf>
    <xf numFmtId="0" fontId="83" fillId="0" borderId="57" xfId="0" applyFont="1" applyBorder="1"/>
    <xf numFmtId="0" fontId="83" fillId="0" borderId="58" xfId="0" applyFont="1" applyBorder="1"/>
    <xf numFmtId="0" fontId="6" fillId="2" borderId="93" xfId="0" applyFont="1" applyFill="1" applyBorder="1" applyAlignment="1">
      <alignment horizontal="center"/>
    </xf>
    <xf numFmtId="0" fontId="10" fillId="2" borderId="266" xfId="0" applyFont="1" applyFill="1" applyBorder="1"/>
    <xf numFmtId="0" fontId="10" fillId="2" borderId="267" xfId="0" applyFont="1" applyFill="1" applyBorder="1"/>
    <xf numFmtId="0" fontId="10" fillId="2" borderId="268" xfId="0" applyFont="1" applyFill="1" applyBorder="1"/>
    <xf numFmtId="0" fontId="10" fillId="2" borderId="264" xfId="0" applyFont="1" applyFill="1" applyBorder="1"/>
    <xf numFmtId="0" fontId="10" fillId="2" borderId="265" xfId="0" applyFont="1" applyFill="1" applyBorder="1"/>
    <xf numFmtId="164" fontId="6" fillId="13" borderId="118" xfId="0" applyNumberFormat="1" applyFont="1" applyFill="1" applyBorder="1" applyAlignment="1">
      <alignment horizontal="center" vertical="center"/>
    </xf>
    <xf numFmtId="0" fontId="10" fillId="2" borderId="266" xfId="0" applyFont="1" applyFill="1" applyBorder="1" applyAlignment="1">
      <alignment horizontal="left" vertical="center"/>
    </xf>
    <xf numFmtId="0" fontId="10" fillId="2" borderId="267" xfId="0" applyFont="1" applyFill="1" applyBorder="1" applyAlignment="1">
      <alignment horizontal="left" vertical="center"/>
    </xf>
    <xf numFmtId="0" fontId="13" fillId="0" borderId="263" xfId="0" applyFont="1" applyBorder="1" applyAlignment="1">
      <alignment horizontal="center" vertical="center"/>
    </xf>
    <xf numFmtId="0" fontId="13" fillId="0" borderId="265" xfId="0" applyFont="1" applyBorder="1" applyAlignment="1">
      <alignment horizontal="center" vertical="center"/>
    </xf>
    <xf numFmtId="0" fontId="13" fillId="0" borderId="268" xfId="0" applyFont="1" applyBorder="1" applyAlignment="1">
      <alignment horizontal="center" vertical="center"/>
    </xf>
    <xf numFmtId="0" fontId="91" fillId="20" borderId="249" xfId="0" applyFont="1" applyFill="1" applyBorder="1" applyAlignment="1">
      <alignment horizontal="center" vertical="center" wrapText="1"/>
    </xf>
    <xf numFmtId="0" fontId="19" fillId="20" borderId="240" xfId="0" applyFont="1" applyFill="1" applyBorder="1" applyAlignment="1">
      <alignment horizontal="center" vertical="center" wrapText="1"/>
    </xf>
    <xf numFmtId="0" fontId="19" fillId="20" borderId="210" xfId="0" applyFont="1" applyFill="1" applyBorder="1" applyAlignment="1">
      <alignment horizontal="center" vertical="center" wrapText="1"/>
    </xf>
    <xf numFmtId="0" fontId="10" fillId="2" borderId="261" xfId="0" applyFont="1" applyFill="1" applyBorder="1" applyAlignment="1">
      <alignment horizontal="left" vertical="center"/>
    </xf>
    <xf numFmtId="0" fontId="19" fillId="38" borderId="59" xfId="0" applyFont="1" applyFill="1" applyBorder="1" applyAlignment="1">
      <alignment horizontal="center" vertical="center" wrapText="1"/>
    </xf>
    <xf numFmtId="0" fontId="7" fillId="37" borderId="8" xfId="0" applyFont="1" applyFill="1" applyBorder="1"/>
    <xf numFmtId="0" fontId="7" fillId="37" borderId="98" xfId="0" applyFont="1" applyFill="1" applyBorder="1"/>
    <xf numFmtId="0" fontId="19" fillId="20" borderId="229" xfId="0" applyFont="1" applyFill="1" applyBorder="1" applyAlignment="1">
      <alignment horizontal="center" vertical="center" wrapText="1"/>
    </xf>
    <xf numFmtId="0" fontId="19" fillId="20" borderId="140" xfId="0" applyFont="1" applyFill="1" applyBorder="1" applyAlignment="1">
      <alignment horizontal="center" vertical="center" wrapText="1"/>
    </xf>
    <xf numFmtId="0" fontId="19" fillId="20" borderId="258" xfId="0" applyFont="1" applyFill="1" applyBorder="1" applyAlignment="1">
      <alignment horizontal="center" vertical="center" wrapText="1"/>
    </xf>
    <xf numFmtId="0" fontId="91" fillId="20" borderId="229" xfId="0" applyFont="1" applyFill="1" applyBorder="1" applyAlignment="1">
      <alignment horizontal="center" vertical="center" wrapText="1"/>
    </xf>
    <xf numFmtId="0" fontId="91" fillId="20" borderId="140" xfId="0" applyFont="1" applyFill="1" applyBorder="1" applyAlignment="1">
      <alignment horizontal="center" vertical="center" wrapText="1"/>
    </xf>
    <xf numFmtId="0" fontId="91" fillId="20" borderId="258" xfId="0" applyFont="1" applyFill="1" applyBorder="1" applyAlignment="1">
      <alignment horizontal="center" vertical="center" wrapText="1"/>
    </xf>
    <xf numFmtId="0" fontId="19" fillId="20" borderId="123" xfId="0" applyFont="1" applyFill="1" applyBorder="1" applyAlignment="1">
      <alignment horizontal="center" vertical="center" wrapText="1"/>
    </xf>
    <xf numFmtId="0" fontId="19" fillId="20" borderId="237" xfId="0" applyFont="1" applyFill="1" applyBorder="1" applyAlignment="1">
      <alignment horizontal="center" vertical="center" wrapText="1"/>
    </xf>
    <xf numFmtId="0" fontId="19" fillId="20" borderId="211" xfId="0" applyFont="1" applyFill="1" applyBorder="1" applyAlignment="1">
      <alignment horizontal="center" vertical="center" wrapText="1"/>
    </xf>
    <xf numFmtId="0" fontId="91" fillId="36" borderId="229" xfId="0" applyFont="1" applyFill="1" applyBorder="1" applyAlignment="1">
      <alignment horizontal="center" vertical="center"/>
    </xf>
    <xf numFmtId="0" fontId="5" fillId="36" borderId="140" xfId="0" applyFont="1" applyFill="1" applyBorder="1" applyAlignment="1">
      <alignment horizontal="center" vertical="center"/>
    </xf>
    <xf numFmtId="0" fontId="5" fillId="36" borderId="258" xfId="0" applyFont="1" applyFill="1" applyBorder="1" applyAlignment="1">
      <alignment horizontal="center" vertical="center"/>
    </xf>
    <xf numFmtId="0" fontId="10" fillId="2" borderId="264" xfId="0" applyFont="1" applyFill="1" applyBorder="1" applyAlignment="1">
      <alignment horizontal="left" vertical="center"/>
    </xf>
    <xf numFmtId="164" fontId="22" fillId="13" borderId="132" xfId="0" applyNumberFormat="1" applyFont="1" applyFill="1" applyBorder="1" applyAlignment="1">
      <alignment horizontal="center" vertical="center"/>
    </xf>
    <xf numFmtId="0" fontId="19" fillId="24" borderId="118" xfId="0" applyFont="1" applyFill="1" applyBorder="1" applyAlignment="1">
      <alignment horizontal="right" vertical="center"/>
    </xf>
    <xf numFmtId="0" fontId="33" fillId="18" borderId="20" xfId="0" applyFont="1" applyFill="1" applyBorder="1" applyAlignment="1">
      <alignment horizontal="center"/>
    </xf>
    <xf numFmtId="0" fontId="83" fillId="0" borderId="119" xfId="0" applyFont="1" applyBorder="1"/>
    <xf numFmtId="0" fontId="83" fillId="0" borderId="132" xfId="0" applyFont="1" applyBorder="1"/>
    <xf numFmtId="0" fontId="22" fillId="16" borderId="160" xfId="0" applyFont="1" applyFill="1" applyBorder="1" applyAlignment="1">
      <alignment horizontal="center" vertical="center" wrapText="1"/>
    </xf>
    <xf numFmtId="164" fontId="19" fillId="24" borderId="156" xfId="0" applyNumberFormat="1" applyFont="1" applyFill="1" applyBorder="1" applyAlignment="1">
      <alignment horizontal="center" vertical="center"/>
    </xf>
    <xf numFmtId="164" fontId="19" fillId="24" borderId="132" xfId="0" applyNumberFormat="1" applyFont="1" applyFill="1" applyBorder="1" applyAlignment="1">
      <alignment horizontal="center" vertical="center"/>
    </xf>
    <xf numFmtId="0" fontId="19" fillId="20" borderId="7" xfId="0" applyFont="1" applyFill="1" applyBorder="1" applyAlignment="1">
      <alignment horizontal="center" vertical="center" wrapText="1"/>
    </xf>
    <xf numFmtId="0" fontId="107" fillId="0" borderId="8" xfId="0" applyFont="1" applyBorder="1"/>
    <xf numFmtId="0" fontId="107" fillId="0" borderId="98" xfId="0" applyFont="1" applyBorder="1"/>
    <xf numFmtId="164" fontId="19" fillId="15" borderId="156" xfId="0" applyNumberFormat="1" applyFont="1" applyFill="1" applyBorder="1" applyAlignment="1">
      <alignment horizontal="center" vertical="center"/>
    </xf>
    <xf numFmtId="0" fontId="19" fillId="20" borderId="7" xfId="0" applyFont="1" applyFill="1" applyBorder="1" applyAlignment="1">
      <alignment horizontal="center" vertical="top" wrapText="1"/>
    </xf>
    <xf numFmtId="0" fontId="19" fillId="20" borderId="59" xfId="0" applyFont="1" applyFill="1" applyBorder="1" applyAlignment="1">
      <alignment horizontal="center" vertical="center" wrapText="1"/>
    </xf>
    <xf numFmtId="0" fontId="13" fillId="16" borderId="59" xfId="0" applyFont="1" applyFill="1" applyBorder="1" applyAlignment="1">
      <alignment horizontal="center" vertical="center" wrapText="1"/>
    </xf>
    <xf numFmtId="0" fontId="91" fillId="20" borderId="59" xfId="0" applyFont="1" applyFill="1" applyBorder="1" applyAlignment="1">
      <alignment horizontal="center" vertical="top" wrapText="1"/>
    </xf>
    <xf numFmtId="0" fontId="19" fillId="20" borderId="59" xfId="0" applyFont="1" applyFill="1" applyBorder="1" applyAlignment="1">
      <alignment horizontal="center" vertical="top" wrapText="1"/>
    </xf>
    <xf numFmtId="0" fontId="10" fillId="2" borderId="240" xfId="0" applyFont="1" applyFill="1" applyBorder="1" applyAlignment="1">
      <alignment horizontal="left" vertical="center"/>
    </xf>
    <xf numFmtId="0" fontId="10" fillId="2" borderId="262" xfId="0" applyFont="1" applyFill="1" applyBorder="1" applyAlignment="1">
      <alignment horizontal="left" vertical="center"/>
    </xf>
    <xf numFmtId="0" fontId="6" fillId="16" borderId="140" xfId="0" applyFont="1" applyFill="1" applyBorder="1" applyAlignment="1">
      <alignment horizontal="center" vertical="center" wrapText="1"/>
    </xf>
    <xf numFmtId="0" fontId="33" fillId="18" borderId="241" xfId="0" applyFont="1" applyFill="1" applyBorder="1" applyAlignment="1">
      <alignment horizontal="center"/>
    </xf>
    <xf numFmtId="0" fontId="33" fillId="18" borderId="256" xfId="0" applyFont="1" applyFill="1" applyBorder="1" applyAlignment="1">
      <alignment horizontal="center"/>
    </xf>
    <xf numFmtId="0" fontId="33" fillId="18" borderId="257" xfId="0" applyFont="1" applyFill="1" applyBorder="1" applyAlignment="1">
      <alignment horizontal="center"/>
    </xf>
    <xf numFmtId="0" fontId="19" fillId="20" borderId="242" xfId="0" applyFont="1" applyFill="1" applyBorder="1" applyAlignment="1">
      <alignment horizontal="center" vertical="center" wrapText="1"/>
    </xf>
    <xf numFmtId="0" fontId="5" fillId="2" borderId="241" xfId="0" applyFont="1" applyFill="1" applyBorder="1" applyAlignment="1">
      <alignment horizontal="left" wrapText="1"/>
    </xf>
    <xf numFmtId="0" fontId="5" fillId="2" borderId="145" xfId="0" applyFont="1" applyFill="1" applyBorder="1" applyAlignment="1">
      <alignment horizontal="left" wrapText="1"/>
    </xf>
    <xf numFmtId="0" fontId="5" fillId="2" borderId="212" xfId="0" applyFont="1" applyFill="1" applyBorder="1" applyAlignment="1">
      <alignment horizontal="left" wrapText="1"/>
    </xf>
    <xf numFmtId="0" fontId="5" fillId="2" borderId="242" xfId="0" applyFont="1" applyFill="1" applyBorder="1" applyAlignment="1">
      <alignment horizontal="left" wrapText="1"/>
    </xf>
    <xf numFmtId="0" fontId="5" fillId="2" borderId="240" xfId="0" applyFont="1" applyFill="1" applyBorder="1" applyAlignment="1">
      <alignment horizontal="left" wrapText="1"/>
    </xf>
    <xf numFmtId="0" fontId="5" fillId="2" borderId="210" xfId="0" applyFont="1" applyFill="1" applyBorder="1" applyAlignment="1">
      <alignment horizontal="left" wrapText="1"/>
    </xf>
    <xf numFmtId="0" fontId="19" fillId="15" borderId="313" xfId="0" applyFont="1" applyFill="1" applyBorder="1" applyAlignment="1">
      <alignment horizontal="right" vertical="center"/>
    </xf>
    <xf numFmtId="0" fontId="19" fillId="15" borderId="314" xfId="0" applyFont="1" applyFill="1" applyBorder="1" applyAlignment="1">
      <alignment horizontal="right" vertical="center"/>
    </xf>
    <xf numFmtId="0" fontId="22" fillId="13" borderId="236" xfId="0" applyFont="1" applyFill="1" applyBorder="1" applyAlignment="1">
      <alignment horizontal="right" vertical="center"/>
    </xf>
    <xf numFmtId="164" fontId="19" fillId="15" borderId="315" xfId="0" applyNumberFormat="1" applyFont="1" applyFill="1" applyBorder="1" applyAlignment="1">
      <alignment horizontal="center" vertical="center"/>
    </xf>
    <xf numFmtId="164" fontId="19" fillId="15" borderId="316" xfId="0" applyNumberFormat="1" applyFont="1" applyFill="1" applyBorder="1" applyAlignment="1">
      <alignment horizontal="center" vertical="center"/>
    </xf>
    <xf numFmtId="0" fontId="19" fillId="20" borderId="242" xfId="0" applyFont="1" applyFill="1" applyBorder="1" applyAlignment="1">
      <alignment horizontal="center" vertical="top" wrapText="1"/>
    </xf>
    <xf numFmtId="0" fontId="19" fillId="20" borderId="140" xfId="0" applyFont="1" applyFill="1" applyBorder="1" applyAlignment="1">
      <alignment horizontal="center" vertical="top" wrapText="1"/>
    </xf>
    <xf numFmtId="0" fontId="19" fillId="20" borderId="258" xfId="0" applyFont="1" applyFill="1" applyBorder="1" applyAlignment="1">
      <alignment horizontal="center" vertical="top" wrapText="1"/>
    </xf>
    <xf numFmtId="0" fontId="19" fillId="20" borderId="237" xfId="0" applyFont="1" applyFill="1" applyBorder="1" applyAlignment="1">
      <alignment horizontal="center" vertical="top" wrapText="1"/>
    </xf>
    <xf numFmtId="0" fontId="19" fillId="20" borderId="211" xfId="0" applyFont="1" applyFill="1" applyBorder="1" applyAlignment="1">
      <alignment horizontal="center" vertical="top" wrapText="1"/>
    </xf>
    <xf numFmtId="0" fontId="11" fillId="2" borderId="91" xfId="0" applyFont="1" applyFill="1" applyBorder="1" applyAlignment="1">
      <alignment horizontal="left" vertical="top" wrapText="1"/>
    </xf>
    <xf numFmtId="0" fontId="5" fillId="2" borderId="91" xfId="0" applyFont="1" applyFill="1" applyBorder="1" applyAlignment="1">
      <alignment horizontal="left" vertical="top" wrapText="1"/>
    </xf>
    <xf numFmtId="0" fontId="13" fillId="25" borderId="59" xfId="0" applyFont="1" applyFill="1" applyBorder="1" applyAlignment="1">
      <alignment horizontal="left" vertical="center"/>
    </xf>
    <xf numFmtId="164" fontId="13" fillId="2" borderId="91" xfId="0" applyNumberFormat="1" applyFont="1" applyFill="1" applyBorder="1" applyAlignment="1">
      <alignment horizontal="center" vertical="center"/>
    </xf>
    <xf numFmtId="0" fontId="13" fillId="25" borderId="59" xfId="0" applyFont="1" applyFill="1" applyBorder="1" applyAlignment="1">
      <alignment horizontal="left"/>
    </xf>
    <xf numFmtId="0" fontId="5" fillId="2" borderId="91" xfId="0" applyFont="1" applyFill="1" applyBorder="1" applyAlignment="1">
      <alignment horizontal="center" vertical="top" wrapText="1"/>
    </xf>
    <xf numFmtId="0" fontId="84" fillId="25" borderId="59" xfId="0" applyFont="1" applyFill="1" applyBorder="1" applyAlignment="1">
      <alignment horizontal="left"/>
    </xf>
    <xf numFmtId="0" fontId="25" fillId="11" borderId="237" xfId="0" applyFont="1" applyFill="1" applyBorder="1" applyAlignment="1">
      <alignment horizontal="center" vertical="center" wrapText="1"/>
    </xf>
    <xf numFmtId="0" fontId="32" fillId="2" borderId="237" xfId="0" applyFont="1" applyFill="1" applyBorder="1" applyAlignment="1">
      <alignment horizontal="center" vertical="center"/>
    </xf>
    <xf numFmtId="0" fontId="82" fillId="11" borderId="56" xfId="0" applyFont="1" applyFill="1" applyBorder="1" applyAlignment="1">
      <alignment horizontal="center" vertical="center"/>
    </xf>
    <xf numFmtId="0" fontId="5" fillId="2" borderId="91" xfId="0" applyFont="1" applyFill="1" applyBorder="1"/>
    <xf numFmtId="0" fontId="22" fillId="0" borderId="8" xfId="0" applyFont="1" applyBorder="1" applyAlignment="1">
      <alignment horizontal="center" vertical="center" wrapText="1"/>
    </xf>
    <xf numFmtId="0" fontId="10" fillId="2" borderId="59" xfId="0" applyFont="1" applyFill="1" applyBorder="1" applyAlignment="1">
      <alignment horizontal="center"/>
    </xf>
    <xf numFmtId="0" fontId="23" fillId="16" borderId="59" xfId="0" applyFont="1" applyFill="1" applyBorder="1" applyAlignment="1">
      <alignment horizontal="center" vertical="center" wrapText="1" readingOrder="1"/>
    </xf>
    <xf numFmtId="0" fontId="13" fillId="0" borderId="79" xfId="0" applyFont="1" applyBorder="1" applyAlignment="1">
      <alignment horizontal="center" vertical="center" wrapText="1"/>
    </xf>
    <xf numFmtId="0" fontId="11" fillId="2" borderId="59" xfId="0" applyFont="1" applyFill="1" applyBorder="1" applyAlignment="1">
      <alignment horizontal="center"/>
    </xf>
    <xf numFmtId="0" fontId="11" fillId="2" borderId="238" xfId="0" applyFont="1" applyFill="1" applyBorder="1" applyAlignment="1">
      <alignment horizontal="center" wrapText="1"/>
    </xf>
    <xf numFmtId="0" fontId="7" fillId="0" borderId="239" xfId="0" applyFont="1" applyBorder="1"/>
    <xf numFmtId="0" fontId="99" fillId="11" borderId="118" xfId="0" applyFont="1" applyFill="1" applyBorder="1" applyAlignment="1">
      <alignment horizontal="center"/>
    </xf>
    <xf numFmtId="0" fontId="24" fillId="0" borderId="112" xfId="0" applyFont="1" applyBorder="1" applyAlignment="1">
      <alignment horizontal="center" vertical="center"/>
    </xf>
    <xf numFmtId="0" fontId="24" fillId="2" borderId="165" xfId="0" applyFont="1" applyFill="1" applyBorder="1" applyAlignment="1">
      <alignment horizontal="left" vertical="center" wrapText="1"/>
    </xf>
    <xf numFmtId="0" fontId="11" fillId="2" borderId="49" xfId="0" applyFont="1" applyFill="1" applyBorder="1"/>
    <xf numFmtId="0" fontId="11" fillId="2" borderId="17" xfId="0" applyFont="1" applyFill="1" applyBorder="1"/>
    <xf numFmtId="0" fontId="33" fillId="26" borderId="2" xfId="0" applyFont="1" applyFill="1" applyBorder="1" applyAlignment="1">
      <alignment horizontal="center" vertical="center"/>
    </xf>
    <xf numFmtId="0" fontId="6" fillId="0" borderId="59" xfId="0" applyFont="1" applyBorder="1" applyAlignment="1">
      <alignment horizontal="left" vertical="top" wrapText="1"/>
    </xf>
    <xf numFmtId="0" fontId="11" fillId="2" borderId="56" xfId="0" applyFont="1" applyFill="1" applyBorder="1"/>
    <xf numFmtId="0" fontId="6" fillId="16" borderId="7" xfId="0" applyFont="1" applyFill="1" applyBorder="1" applyAlignment="1">
      <alignment horizontal="center" vertical="center" wrapText="1"/>
    </xf>
    <xf numFmtId="0" fontId="10" fillId="2" borderId="95" xfId="0" applyFont="1" applyFill="1" applyBorder="1" applyAlignment="1">
      <alignment horizontal="left"/>
    </xf>
    <xf numFmtId="0" fontId="10" fillId="2" borderId="20" xfId="0" applyFont="1" applyFill="1" applyBorder="1" applyAlignment="1">
      <alignment horizontal="left"/>
    </xf>
    <xf numFmtId="0" fontId="5" fillId="2" borderId="241" xfId="0" applyFont="1" applyFill="1" applyBorder="1"/>
    <xf numFmtId="0" fontId="7" fillId="0" borderId="242" xfId="0" applyFont="1" applyBorder="1"/>
    <xf numFmtId="0" fontId="7" fillId="0" borderId="243" xfId="0" applyFont="1" applyBorder="1"/>
    <xf numFmtId="0" fontId="10" fillId="2" borderId="244" xfId="0" applyFont="1" applyFill="1" applyBorder="1" applyAlignment="1">
      <alignment horizontal="left"/>
    </xf>
    <xf numFmtId="0" fontId="5" fillId="2" borderId="93" xfId="0" applyFont="1" applyFill="1" applyBorder="1"/>
    <xf numFmtId="0" fontId="22" fillId="0" borderId="8" xfId="0" applyFont="1" applyBorder="1" applyAlignment="1">
      <alignment horizontal="left" vertical="top" wrapText="1"/>
    </xf>
    <xf numFmtId="0" fontId="22" fillId="0" borderId="7" xfId="0" applyFont="1" applyBorder="1" applyAlignment="1">
      <alignment horizontal="left" vertical="top" wrapText="1"/>
    </xf>
    <xf numFmtId="0" fontId="22" fillId="0" borderId="59" xfId="0" applyFont="1" applyBorder="1" applyAlignment="1">
      <alignment horizontal="left" vertical="top" wrapText="1"/>
    </xf>
    <xf numFmtId="0" fontId="13" fillId="2" borderId="245" xfId="0" applyFont="1" applyFill="1" applyBorder="1" applyAlignment="1">
      <alignment horizontal="center"/>
    </xf>
    <xf numFmtId="0" fontId="6" fillId="0" borderId="8" xfId="0" applyFont="1" applyBorder="1" applyAlignment="1">
      <alignment horizontal="center" vertical="top" wrapText="1"/>
    </xf>
    <xf numFmtId="0" fontId="11" fillId="2" borderId="56" xfId="0" applyFont="1" applyFill="1" applyBorder="1" applyAlignment="1">
      <alignment horizontal="left" vertical="top"/>
    </xf>
    <xf numFmtId="0" fontId="11" fillId="2" borderId="17" xfId="0" applyFont="1" applyFill="1" applyBorder="1" applyAlignment="1">
      <alignment horizontal="left" vertical="top"/>
    </xf>
    <xf numFmtId="0" fontId="13" fillId="16" borderId="140" xfId="0" applyFont="1" applyFill="1" applyBorder="1" applyAlignment="1">
      <alignment horizontal="center" vertical="center" wrapText="1"/>
    </xf>
    <xf numFmtId="0" fontId="15" fillId="0" borderId="91" xfId="0" applyFont="1" applyBorder="1" applyAlignment="1">
      <alignment horizontal="left" vertical="top" wrapText="1"/>
    </xf>
    <xf numFmtId="0" fontId="14" fillId="3" borderId="78" xfId="0" applyFont="1" applyFill="1" applyBorder="1" applyAlignment="1">
      <alignment horizontal="center" vertical="center" wrapText="1"/>
    </xf>
    <xf numFmtId="164" fontId="19" fillId="15" borderId="132" xfId="0" applyNumberFormat="1" applyFont="1" applyFill="1" applyBorder="1" applyAlignment="1">
      <alignment horizontal="center" vertical="center"/>
    </xf>
    <xf numFmtId="0" fontId="33" fillId="18" borderId="20" xfId="0" applyFont="1" applyFill="1" applyBorder="1" applyAlignment="1">
      <alignment horizontal="center" vertical="center"/>
    </xf>
    <xf numFmtId="0" fontId="13" fillId="0" borderId="8"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59" xfId="0" applyFont="1" applyBorder="1" applyAlignment="1">
      <alignment horizontal="left" vertical="top" wrapText="1"/>
    </xf>
    <xf numFmtId="0" fontId="13" fillId="0" borderId="59" xfId="0" applyFont="1" applyBorder="1" applyAlignment="1">
      <alignment horizontal="left" vertical="center" wrapText="1"/>
    </xf>
    <xf numFmtId="0" fontId="10" fillId="2" borderId="266" xfId="0" applyFont="1" applyFill="1" applyBorder="1" applyAlignment="1">
      <alignment vertical="center"/>
    </xf>
    <xf numFmtId="0" fontId="10" fillId="2" borderId="267" xfId="0" applyFont="1" applyFill="1" applyBorder="1" applyAlignment="1">
      <alignment vertical="center"/>
    </xf>
    <xf numFmtId="0" fontId="10" fillId="2" borderId="268" xfId="0" applyFont="1" applyFill="1" applyBorder="1" applyAlignment="1">
      <alignment vertical="center"/>
    </xf>
    <xf numFmtId="0" fontId="10" fillId="2" borderId="261" xfId="0" applyFont="1" applyFill="1" applyBorder="1" applyAlignment="1">
      <alignment vertical="center"/>
    </xf>
    <xf numFmtId="0" fontId="10" fillId="2" borderId="262" xfId="0" applyFont="1" applyFill="1" applyBorder="1" applyAlignment="1">
      <alignment vertical="center"/>
    </xf>
    <xf numFmtId="0" fontId="10" fillId="2" borderId="263" xfId="0" applyFont="1" applyFill="1" applyBorder="1" applyAlignment="1">
      <alignment vertical="center"/>
    </xf>
    <xf numFmtId="0" fontId="10" fillId="2" borderId="264" xfId="0" applyFont="1" applyFill="1" applyBorder="1" applyAlignment="1">
      <alignment vertical="center"/>
    </xf>
    <xf numFmtId="0" fontId="10" fillId="2" borderId="240" xfId="0" applyFont="1" applyFill="1" applyBorder="1" applyAlignment="1">
      <alignment vertical="center"/>
    </xf>
    <xf numFmtId="0" fontId="10" fillId="2" borderId="265" xfId="0" applyFont="1" applyFill="1" applyBorder="1" applyAlignment="1">
      <alignment vertical="center"/>
    </xf>
    <xf numFmtId="0" fontId="33" fillId="18" borderId="135" xfId="0" applyFont="1" applyFill="1" applyBorder="1" applyAlignment="1">
      <alignment horizontal="center"/>
    </xf>
    <xf numFmtId="0" fontId="102" fillId="11" borderId="261" xfId="0" applyFont="1" applyFill="1" applyBorder="1" applyAlignment="1">
      <alignment horizontal="center" vertical="center"/>
    </xf>
    <xf numFmtId="0" fontId="103" fillId="0" borderId="262" xfId="0" applyFont="1" applyBorder="1"/>
    <xf numFmtId="0" fontId="103" fillId="0" borderId="263" xfId="0" applyFont="1" applyBorder="1"/>
    <xf numFmtId="0" fontId="6" fillId="0" borderId="264" xfId="0" applyFont="1" applyBorder="1" applyAlignment="1">
      <alignment horizontal="center" vertical="center"/>
    </xf>
    <xf numFmtId="0" fontId="0" fillId="0" borderId="240" xfId="0" applyBorder="1"/>
    <xf numFmtId="0" fontId="0" fillId="0" borderId="265" xfId="0" applyBorder="1"/>
    <xf numFmtId="0" fontId="0" fillId="0" borderId="264" xfId="0" applyBorder="1"/>
    <xf numFmtId="0" fontId="0" fillId="0" borderId="266" xfId="0" applyBorder="1"/>
    <xf numFmtId="0" fontId="0" fillId="0" borderId="267" xfId="0" applyBorder="1"/>
    <xf numFmtId="0" fontId="0" fillId="0" borderId="268" xfId="0" applyBorder="1"/>
    <xf numFmtId="0" fontId="22" fillId="16" borderId="237" xfId="0" applyFont="1" applyFill="1" applyBorder="1" applyAlignment="1">
      <alignment horizontal="center" vertical="center" wrapText="1"/>
    </xf>
    <xf numFmtId="0" fontId="22" fillId="10" borderId="59" xfId="0" applyFont="1" applyFill="1" applyBorder="1" applyAlignment="1">
      <alignment horizontal="center" vertical="center"/>
    </xf>
    <xf numFmtId="0" fontId="11" fillId="0" borderId="140" xfId="0" applyFont="1" applyBorder="1" applyAlignment="1">
      <alignment horizontal="left" vertical="top" wrapText="1"/>
    </xf>
    <xf numFmtId="0" fontId="111" fillId="0" borderId="140" xfId="0" applyFont="1" applyBorder="1"/>
    <xf numFmtId="0" fontId="11" fillId="0" borderId="140" xfId="0" applyFont="1" applyBorder="1" applyAlignment="1">
      <alignment horizontal="left" vertical="top" wrapText="1" readingOrder="1"/>
    </xf>
    <xf numFmtId="0" fontId="0" fillId="0" borderId="140" xfId="0" applyBorder="1" applyAlignment="1">
      <alignment wrapText="1"/>
    </xf>
    <xf numFmtId="0" fontId="0" fillId="0" borderId="140" xfId="0" applyBorder="1"/>
    <xf numFmtId="0" fontId="0" fillId="0" borderId="111" xfId="0" applyBorder="1"/>
    <xf numFmtId="0" fontId="0" fillId="0" borderId="237" xfId="0" applyBorder="1" applyAlignment="1">
      <alignment horizontal="center" vertical="center" wrapText="1"/>
    </xf>
    <xf numFmtId="0" fontId="0" fillId="0" borderId="140" xfId="0" applyBorder="1" applyAlignment="1">
      <alignment horizontal="center" vertical="center" wrapText="1"/>
    </xf>
    <xf numFmtId="0" fontId="22" fillId="16" borderId="141" xfId="0" applyFont="1" applyFill="1" applyBorder="1" applyAlignment="1">
      <alignment horizontal="center" vertical="center" wrapText="1"/>
    </xf>
    <xf numFmtId="0" fontId="15" fillId="2" borderId="249" xfId="0" applyFont="1" applyFill="1" applyBorder="1" applyAlignment="1">
      <alignment horizontal="left" vertical="top"/>
    </xf>
    <xf numFmtId="0" fontId="7" fillId="0" borderId="250" xfId="0" applyFont="1" applyBorder="1"/>
    <xf numFmtId="0" fontId="8" fillId="3" borderId="59" xfId="0" applyFont="1" applyFill="1" applyBorder="1" applyAlignment="1">
      <alignment horizontal="right" vertical="center"/>
    </xf>
    <xf numFmtId="0" fontId="6" fillId="2" borderId="59" xfId="0" applyFont="1" applyFill="1" applyBorder="1" applyAlignment="1">
      <alignment horizontal="center" vertical="center"/>
    </xf>
    <xf numFmtId="0" fontId="6" fillId="25" borderId="172" xfId="0" applyFont="1" applyFill="1" applyBorder="1" applyAlignment="1">
      <alignment horizontal="left"/>
    </xf>
    <xf numFmtId="0" fontId="7" fillId="0" borderId="247" xfId="0" applyFont="1" applyBorder="1"/>
    <xf numFmtId="0" fontId="7" fillId="0" borderId="248" xfId="0" applyFont="1" applyBorder="1"/>
    <xf numFmtId="0" fontId="5" fillId="2" borderId="249" xfId="0" applyFont="1" applyFill="1" applyBorder="1" applyAlignment="1">
      <alignment horizontal="left" vertical="top"/>
    </xf>
    <xf numFmtId="0" fontId="6" fillId="25" borderId="59" xfId="0" applyFont="1" applyFill="1" applyBorder="1" applyAlignment="1">
      <alignment horizontal="left" vertical="center"/>
    </xf>
    <xf numFmtId="0" fontId="15" fillId="2" borderId="62" xfId="0" applyFont="1" applyFill="1" applyBorder="1" applyAlignment="1">
      <alignment horizontal="left" vertical="top"/>
    </xf>
    <xf numFmtId="0" fontId="6" fillId="23" borderId="59" xfId="0" applyFont="1" applyFill="1" applyBorder="1" applyAlignment="1">
      <alignment horizontal="left" vertical="top" wrapText="1"/>
    </xf>
    <xf numFmtId="0" fontId="11" fillId="2" borderId="20" xfId="0" applyFont="1" applyFill="1" applyBorder="1" applyAlignment="1">
      <alignment horizontal="center"/>
    </xf>
    <xf numFmtId="0" fontId="7" fillId="0" borderId="14" xfId="0" applyFont="1" applyBorder="1"/>
    <xf numFmtId="0" fontId="10" fillId="2" borderId="62" xfId="0" applyFont="1" applyFill="1" applyBorder="1" applyAlignment="1">
      <alignment horizontal="center" vertical="center"/>
    </xf>
    <xf numFmtId="0" fontId="10" fillId="2" borderId="67" xfId="0" applyFont="1" applyFill="1" applyBorder="1" applyAlignment="1">
      <alignment horizontal="center" vertical="center"/>
    </xf>
    <xf numFmtId="0" fontId="10" fillId="2" borderId="71" xfId="0" applyFont="1" applyFill="1" applyBorder="1" applyAlignment="1">
      <alignment horizontal="center" vertical="center"/>
    </xf>
    <xf numFmtId="0" fontId="10" fillId="2" borderId="49" xfId="0" applyFont="1" applyFill="1" applyBorder="1" applyAlignment="1">
      <alignment horizontal="left" vertical="center"/>
    </xf>
    <xf numFmtId="0" fontId="22" fillId="0" borderId="62" xfId="0" applyFont="1" applyBorder="1" applyAlignment="1">
      <alignment horizontal="center" vertical="center" wrapText="1"/>
    </xf>
    <xf numFmtId="0" fontId="13" fillId="2" borderId="212" xfId="0" applyFont="1" applyFill="1" applyBorder="1" applyAlignment="1">
      <alignment horizontal="center" vertical="center"/>
    </xf>
    <xf numFmtId="0" fontId="10" fillId="2" borderId="17" xfId="0" applyFont="1" applyFill="1" applyBorder="1" applyAlignment="1">
      <alignment horizontal="left" vertical="center"/>
    </xf>
    <xf numFmtId="0" fontId="10" fillId="2" borderId="56" xfId="0" applyFont="1" applyFill="1" applyBorder="1" applyAlignment="1">
      <alignment horizontal="left" vertical="center"/>
    </xf>
    <xf numFmtId="0" fontId="33" fillId="2" borderId="244" xfId="0" applyFont="1" applyFill="1" applyBorder="1" applyAlignment="1">
      <alignment horizontal="center"/>
    </xf>
    <xf numFmtId="0" fontId="15" fillId="0" borderId="93" xfId="0" applyFont="1" applyBorder="1" applyAlignment="1">
      <alignment horizontal="center" vertical="center"/>
    </xf>
    <xf numFmtId="0" fontId="22" fillId="0" borderId="63" xfId="0" applyFont="1" applyBorder="1" applyAlignment="1">
      <alignment horizontal="center" vertical="center" wrapText="1"/>
    </xf>
    <xf numFmtId="0" fontId="82" fillId="11" borderId="20" xfId="0" applyFont="1" applyFill="1" applyBorder="1" applyAlignment="1">
      <alignment horizontal="center" vertical="center"/>
    </xf>
    <xf numFmtId="0" fontId="83" fillId="0" borderId="5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99060</xdr:colOff>
      <xdr:row>8</xdr:row>
      <xdr:rowOff>137160</xdr:rowOff>
    </xdr:from>
    <xdr:ext cx="4556760" cy="4198620"/>
    <xdr:sp macro="" textlink="">
      <xdr:nvSpPr>
        <xdr:cNvPr id="3" name="Shape 3">
          <a:extLst>
            <a:ext uri="{FF2B5EF4-FFF2-40B4-BE49-F238E27FC236}">
              <a16:creationId xmlns:a16="http://schemas.microsoft.com/office/drawing/2014/main" xmlns="" id="{00000000-0008-0000-0000-000003000000}"/>
            </a:ext>
          </a:extLst>
        </xdr:cNvPr>
        <xdr:cNvSpPr txBox="1"/>
      </xdr:nvSpPr>
      <xdr:spPr>
        <a:xfrm>
          <a:off x="4709160" y="2049780"/>
          <a:ext cx="4556760" cy="4198620"/>
        </a:xfrm>
        <a:prstGeom prst="rect">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Please use this page to paste supporting information:</a:t>
          </a:r>
        </a:p>
        <a:p>
          <a:pPr marL="0" lvl="0" indent="0" algn="l" rtl="0">
            <a:spcBef>
              <a:spcPts val="0"/>
            </a:spcBef>
            <a:spcAft>
              <a:spcPts val="0"/>
            </a:spcAft>
            <a:buClr>
              <a:schemeClr val="dk1"/>
            </a:buClr>
            <a:buSzPts val="1100"/>
            <a:buFont typeface="Calibri"/>
            <a:buNone/>
          </a:pPr>
          <a:r>
            <a:rPr lang="en-US" sz="1400"/>
            <a:t>- </a:t>
          </a:r>
          <a:r>
            <a:rPr lang="en-US" sz="1000"/>
            <a:t>general arrangements drawings</a:t>
          </a:r>
          <a:endParaRPr sz="1000"/>
        </a:p>
        <a:p>
          <a:pPr marL="0" lvl="0" indent="0" algn="l" rtl="0">
            <a:spcBef>
              <a:spcPts val="0"/>
            </a:spcBef>
            <a:spcAft>
              <a:spcPts val="0"/>
            </a:spcAft>
            <a:buClr>
              <a:schemeClr val="dk1"/>
            </a:buClr>
            <a:buSzPts val="1100"/>
            <a:buFont typeface="Calibri"/>
            <a:buNone/>
          </a:pPr>
          <a:r>
            <a:rPr lang="en-US" sz="1000">
              <a:solidFill>
                <a:schemeClr val="dk1"/>
              </a:solidFill>
              <a:latin typeface="Calibri"/>
              <a:ea typeface="Calibri"/>
              <a:cs typeface="Calibri"/>
              <a:sym typeface="Calibri"/>
            </a:rPr>
            <a:t>- scanned drawings and cross-sections</a:t>
          </a:r>
          <a:endParaRPr sz="1000"/>
        </a:p>
        <a:p>
          <a:pPr marL="0" lvl="0" indent="0" algn="l" rtl="0">
            <a:spcBef>
              <a:spcPts val="0"/>
            </a:spcBef>
            <a:spcAft>
              <a:spcPts val="0"/>
            </a:spcAft>
            <a:buClr>
              <a:schemeClr val="dk1"/>
            </a:buClr>
            <a:buSzPts val="1100"/>
            <a:buFont typeface="Calibri"/>
            <a:buNone/>
          </a:pPr>
          <a:r>
            <a:rPr lang="en-US" sz="1000">
              <a:solidFill>
                <a:schemeClr val="dk1"/>
              </a:solidFill>
              <a:latin typeface="Calibri"/>
              <a:ea typeface="Calibri"/>
              <a:cs typeface="Calibri"/>
              <a:sym typeface="Calibri"/>
            </a:rPr>
            <a:t>- hydrographs</a:t>
          </a:r>
          <a:endParaRPr sz="1000"/>
        </a:p>
        <a:p>
          <a:pPr marL="0" lvl="0" indent="0" algn="l" rtl="0">
            <a:spcBef>
              <a:spcPts val="0"/>
            </a:spcBef>
            <a:spcAft>
              <a:spcPts val="0"/>
            </a:spcAft>
            <a:buClr>
              <a:schemeClr val="dk1"/>
            </a:buClr>
            <a:buSzPts val="1100"/>
            <a:buFont typeface="Calibri"/>
            <a:buNone/>
          </a:pPr>
          <a:r>
            <a:rPr lang="en-US" sz="1000">
              <a:solidFill>
                <a:schemeClr val="dk1"/>
              </a:solidFill>
              <a:latin typeface="Calibri"/>
              <a:ea typeface="Calibri"/>
              <a:cs typeface="Calibri"/>
              <a:sym typeface="Calibri"/>
            </a:rPr>
            <a:t>- photographs</a:t>
          </a:r>
          <a:endParaRPr sz="1000"/>
        </a:p>
        <a:p>
          <a:pPr marL="0" lvl="0" indent="0" algn="l" rtl="0">
            <a:spcBef>
              <a:spcPts val="0"/>
            </a:spcBef>
            <a:spcAft>
              <a:spcPts val="0"/>
            </a:spcAft>
            <a:buClr>
              <a:schemeClr val="dk1"/>
            </a:buClr>
            <a:buSzPts val="1100"/>
            <a:buFont typeface="Calibri"/>
            <a:buNone/>
          </a:pPr>
          <a:r>
            <a:rPr lang="en-US" sz="1000">
              <a:solidFill>
                <a:schemeClr val="dk1"/>
              </a:solidFill>
              <a:latin typeface="Calibri"/>
              <a:ea typeface="Calibri"/>
              <a:cs typeface="Calibri"/>
              <a:sym typeface="Calibri"/>
            </a:rPr>
            <a:t>- references</a:t>
          </a:r>
          <a:endParaRPr sz="1000"/>
        </a:p>
        <a:p>
          <a:pPr marL="0" lvl="0" indent="0" algn="l" rtl="0">
            <a:spcBef>
              <a:spcPts val="0"/>
            </a:spcBef>
            <a:spcAft>
              <a:spcPts val="0"/>
            </a:spcAft>
            <a:buClr>
              <a:schemeClr val="dk1"/>
            </a:buClr>
            <a:buSzPts val="1100"/>
            <a:buFont typeface="Calibri"/>
            <a:buNone/>
          </a:pPr>
          <a:r>
            <a:rPr lang="en-US" sz="1000">
              <a:solidFill>
                <a:schemeClr val="dk1"/>
              </a:solidFill>
              <a:latin typeface="Calibri"/>
              <a:ea typeface="Calibri"/>
              <a:cs typeface="Calibri"/>
              <a:sym typeface="Calibri"/>
            </a:rPr>
            <a:t>- any other supporting information for reviewers!</a:t>
          </a:r>
          <a:endParaRPr sz="1000"/>
        </a:p>
      </xdr:txBody>
    </xdr:sp>
    <xdr:clientData fLocksWithSheet="0"/>
  </xdr:oneCellAnchor>
  <xdr:oneCellAnchor>
    <xdr:from>
      <xdr:col>0</xdr:col>
      <xdr:colOff>320040</xdr:colOff>
      <xdr:row>8</xdr:row>
      <xdr:rowOff>123825</xdr:rowOff>
    </xdr:from>
    <xdr:ext cx="4381501" cy="4210050"/>
    <xdr:grpSp>
      <xdr:nvGrpSpPr>
        <xdr:cNvPr id="2" name="Shape 2" title="Drawing">
          <a:extLst>
            <a:ext uri="{FF2B5EF4-FFF2-40B4-BE49-F238E27FC236}">
              <a16:creationId xmlns:a16="http://schemas.microsoft.com/office/drawing/2014/main" xmlns="" id="{00000000-0008-0000-0000-000002000000}"/>
            </a:ext>
          </a:extLst>
        </xdr:cNvPr>
        <xdr:cNvGrpSpPr/>
      </xdr:nvGrpSpPr>
      <xdr:grpSpPr>
        <a:xfrm>
          <a:off x="129540" y="2040031"/>
          <a:ext cx="4381501" cy="4210050"/>
          <a:chOff x="2992214" y="2046450"/>
          <a:chExt cx="4635024" cy="4187044"/>
        </a:xfrm>
      </xdr:grpSpPr>
      <xdr:grpSp>
        <xdr:nvGrpSpPr>
          <xdr:cNvPr id="5" name="Shape 5">
            <a:extLst>
              <a:ext uri="{FF2B5EF4-FFF2-40B4-BE49-F238E27FC236}">
                <a16:creationId xmlns:a16="http://schemas.microsoft.com/office/drawing/2014/main" xmlns="" id="{00000000-0008-0000-0000-000005000000}"/>
              </a:ext>
            </a:extLst>
          </xdr:cNvPr>
          <xdr:cNvGrpSpPr/>
        </xdr:nvGrpSpPr>
        <xdr:grpSpPr>
          <a:xfrm>
            <a:off x="2992214" y="2046450"/>
            <a:ext cx="4635024" cy="4187044"/>
            <a:chOff x="2992214" y="2046450"/>
            <a:chExt cx="4635024" cy="4187044"/>
          </a:xfrm>
        </xdr:grpSpPr>
        <xdr:sp macro="" textlink="">
          <xdr:nvSpPr>
            <xdr:cNvPr id="6" name="Shape 6">
              <a:extLst>
                <a:ext uri="{FF2B5EF4-FFF2-40B4-BE49-F238E27FC236}">
                  <a16:creationId xmlns:a16="http://schemas.microsoft.com/office/drawing/2014/main" xmlns="" id="{00000000-0008-0000-0000-000006000000}"/>
                </a:ext>
              </a:extLst>
            </xdr:cNvPr>
            <xdr:cNvSpPr/>
          </xdr:nvSpPr>
          <xdr:spPr>
            <a:xfrm>
              <a:off x="3064763" y="2046450"/>
              <a:ext cx="4562475" cy="3467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7" name="Shape 7">
              <a:extLst>
                <a:ext uri="{FF2B5EF4-FFF2-40B4-BE49-F238E27FC236}">
                  <a16:creationId xmlns:a16="http://schemas.microsoft.com/office/drawing/2014/main" xmlns="" id="{00000000-0008-0000-0000-000007000000}"/>
                </a:ext>
              </a:extLst>
            </xdr:cNvPr>
            <xdr:cNvGrpSpPr/>
          </xdr:nvGrpSpPr>
          <xdr:grpSpPr>
            <a:xfrm>
              <a:off x="2992214" y="2046450"/>
              <a:ext cx="4635008" cy="4187044"/>
              <a:chOff x="121466" y="1228832"/>
              <a:chExt cx="6461361" cy="4619104"/>
            </a:xfrm>
          </xdr:grpSpPr>
          <xdr:sp macro="" textlink="">
            <xdr:nvSpPr>
              <xdr:cNvPr id="8" name="Shape 8">
                <a:extLst>
                  <a:ext uri="{FF2B5EF4-FFF2-40B4-BE49-F238E27FC236}">
                    <a16:creationId xmlns:a16="http://schemas.microsoft.com/office/drawing/2014/main" xmlns="" id="{00000000-0008-0000-0000-000008000000}"/>
                  </a:ext>
                </a:extLst>
              </xdr:cNvPr>
              <xdr:cNvSpPr/>
            </xdr:nvSpPr>
            <xdr:spPr>
              <a:xfrm>
                <a:off x="222602" y="1228832"/>
                <a:ext cx="6360225" cy="3824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sp macro="" textlink="">
            <xdr:nvSpPr>
              <xdr:cNvPr id="9" name="Shape 9">
                <a:extLst>
                  <a:ext uri="{FF2B5EF4-FFF2-40B4-BE49-F238E27FC236}">
                    <a16:creationId xmlns:a16="http://schemas.microsoft.com/office/drawing/2014/main" xmlns="" id="{00000000-0008-0000-0000-000009000000}"/>
                  </a:ext>
                </a:extLst>
              </xdr:cNvPr>
              <xdr:cNvSpPr txBox="1"/>
            </xdr:nvSpPr>
            <xdr:spPr>
              <a:xfrm>
                <a:off x="121466" y="1602959"/>
                <a:ext cx="6313937" cy="4244977"/>
              </a:xfrm>
              <a:prstGeom prst="rect">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Main Design Features and Components of the  Dam: </a:t>
                </a:r>
                <a:endParaRPr sz="1100">
                  <a:solidFill>
                    <a:schemeClr val="dk1"/>
                  </a:solidFill>
                  <a:latin typeface="Calibri"/>
                  <a:ea typeface="Calibri"/>
                  <a:cs typeface="Calibri"/>
                  <a:sym typeface="Calibri"/>
                </a:endParaRPr>
              </a:p>
              <a:p>
                <a:pPr marL="0" lvl="0" indent="0" algn="l" rtl="0">
                  <a:spcBef>
                    <a:spcPts val="0"/>
                  </a:spcBef>
                  <a:spcAft>
                    <a:spcPts val="0"/>
                  </a:spcAft>
                  <a:buSzPts val="1100"/>
                  <a:buFont typeface="Arial"/>
                  <a:buNone/>
                </a:pPr>
                <a:endParaRPr sz="1100"/>
              </a:p>
            </xdr:txBody>
          </xdr:sp>
          <xdr:sp macro="" textlink="">
            <xdr:nvSpPr>
              <xdr:cNvPr id="10" name="Shape 10">
                <a:extLst>
                  <a:ext uri="{FF2B5EF4-FFF2-40B4-BE49-F238E27FC236}">
                    <a16:creationId xmlns:a16="http://schemas.microsoft.com/office/drawing/2014/main" xmlns="" id="{00000000-0008-0000-0000-00000A000000}"/>
                  </a:ext>
                </a:extLst>
              </xdr:cNvPr>
              <xdr:cNvSpPr txBox="1"/>
            </xdr:nvSpPr>
            <xdr:spPr>
              <a:xfrm>
                <a:off x="143940" y="1228832"/>
                <a:ext cx="6270349" cy="318215"/>
              </a:xfrm>
              <a:prstGeom prst="rect">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marR="0" lvl="0" indent="0" algn="l" rtl="0">
                  <a:lnSpc>
                    <a:spcPct val="100000"/>
                  </a:lnSpc>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Site Description:</a:t>
                </a:r>
                <a:endParaRPr sz="1100" b="1"/>
              </a:p>
              <a:p>
                <a:pPr marL="0" lvl="0" indent="0" algn="l" rtl="0">
                  <a:spcBef>
                    <a:spcPts val="0"/>
                  </a:spcBef>
                  <a:spcAft>
                    <a:spcPts val="0"/>
                  </a:spcAft>
                  <a:buSzPts val="1100"/>
                  <a:buFont typeface="Arial"/>
                  <a:buNone/>
                </a:pPr>
                <a:endParaRPr sz="1100"/>
              </a:p>
            </xdr:txBody>
          </xdr:sp>
        </xdr:grpSp>
      </xdr:grpSp>
    </xdr:grp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7</xdr:col>
      <xdr:colOff>142875</xdr:colOff>
      <xdr:row>12</xdr:row>
      <xdr:rowOff>190500</xdr:rowOff>
    </xdr:from>
    <xdr:ext cx="2105025" cy="1381125"/>
    <xdr:sp macro="" textlink="">
      <xdr:nvSpPr>
        <xdr:cNvPr id="11" name="Shape 11">
          <a:extLst>
            <a:ext uri="{FF2B5EF4-FFF2-40B4-BE49-F238E27FC236}">
              <a16:creationId xmlns:a16="http://schemas.microsoft.com/office/drawing/2014/main" xmlns="" id="{00000000-0008-0000-0100-00000B000000}"/>
            </a:ext>
          </a:extLst>
        </xdr:cNvPr>
        <xdr:cNvSpPr txBox="1"/>
      </xdr:nvSpPr>
      <xdr:spPr>
        <a:xfrm>
          <a:off x="7214235" y="2362200"/>
          <a:ext cx="2105025" cy="1381125"/>
        </a:xfrm>
        <a:prstGeom prst="rect">
          <a:avLst/>
        </a:prstGeom>
        <a:solidFill>
          <a:schemeClr val="lt1"/>
        </a:solidFill>
        <a:ln w="19050"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Calibri"/>
            <a:buNone/>
          </a:pPr>
          <a:r>
            <a:rPr lang="en-US" sz="1100" u="sng">
              <a:solidFill>
                <a:schemeClr val="dk1"/>
              </a:solidFill>
              <a:latin typeface="Calibri"/>
              <a:ea typeface="Calibri"/>
              <a:cs typeface="Calibri"/>
              <a:sym typeface="Calibri"/>
            </a:rPr>
            <a:t>Key:</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TC: Technical Characteristics</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EC: Existing Conditions</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SP:  Safety Plans</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FI:  Fragility Index</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PI: Potential Impacts</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RI:  Risk Index</a:t>
          </a:r>
          <a:endParaRPr sz="11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66675</xdr:colOff>
      <xdr:row>10</xdr:row>
      <xdr:rowOff>20955</xdr:rowOff>
    </xdr:from>
    <xdr:ext cx="573405" cy="266700"/>
    <xdr:sp macro="" textlink="">
      <xdr:nvSpPr>
        <xdr:cNvPr id="12" name="Shape 12">
          <a:extLst>
            <a:ext uri="{FF2B5EF4-FFF2-40B4-BE49-F238E27FC236}">
              <a16:creationId xmlns:a16="http://schemas.microsoft.com/office/drawing/2014/main" xmlns="" id="{00000000-0008-0000-0B00-00000C000000}"/>
            </a:ext>
          </a:extLst>
        </xdr:cNvPr>
        <xdr:cNvSpPr/>
      </xdr:nvSpPr>
      <xdr:spPr>
        <a:xfrm>
          <a:off x="4021455" y="2093595"/>
          <a:ext cx="573405" cy="266700"/>
        </a:xfrm>
        <a:prstGeom prst="rightArrow">
          <a:avLst>
            <a:gd name="adj1" fmla="val 50000"/>
            <a:gd name="adj2" fmla="val 50000"/>
          </a:avLst>
        </a:prstGeom>
        <a:solidFill>
          <a:srgbClr val="FF0000"/>
        </a:soli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10</xdr:col>
      <xdr:colOff>15238</xdr:colOff>
      <xdr:row>22</xdr:row>
      <xdr:rowOff>45720</xdr:rowOff>
    </xdr:from>
    <xdr:ext cx="1546861" cy="2068831"/>
    <xdr:sp macro="" textlink="">
      <xdr:nvSpPr>
        <xdr:cNvPr id="13" name="Shape 13">
          <a:extLst>
            <a:ext uri="{FF2B5EF4-FFF2-40B4-BE49-F238E27FC236}">
              <a16:creationId xmlns:a16="http://schemas.microsoft.com/office/drawing/2014/main" xmlns="" id="{00000000-0008-0000-0B00-00000D000000}"/>
            </a:ext>
          </a:extLst>
        </xdr:cNvPr>
        <xdr:cNvSpPr/>
      </xdr:nvSpPr>
      <xdr:spPr>
        <a:xfrm rot="5400000">
          <a:off x="13470253" y="5587365"/>
          <a:ext cx="2068831" cy="1546861"/>
        </a:xfrm>
        <a:prstGeom prst="bentArrow">
          <a:avLst>
            <a:gd name="adj1" fmla="val 10818"/>
            <a:gd name="adj2" fmla="val 16636"/>
            <a:gd name="adj3" fmla="val 14090"/>
            <a:gd name="adj4" fmla="val 63748"/>
          </a:avLst>
        </a:prstGeom>
        <a:solidFill>
          <a:srgbClr val="FF0000"/>
        </a:soli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solidFill>
              <a:schemeClr val="dk1"/>
            </a:solidFill>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9525</xdr:colOff>
      <xdr:row>1</xdr:row>
      <xdr:rowOff>66675</xdr:rowOff>
    </xdr:from>
    <xdr:ext cx="504825" cy="190500"/>
    <xdr:sp macro="" textlink="">
      <xdr:nvSpPr>
        <xdr:cNvPr id="15" name="Shape 15">
          <a:extLst>
            <a:ext uri="{FF2B5EF4-FFF2-40B4-BE49-F238E27FC236}">
              <a16:creationId xmlns:a16="http://schemas.microsoft.com/office/drawing/2014/main" xmlns="" id="{00000000-0008-0000-1D00-00000F000000}"/>
            </a:ext>
          </a:extLst>
        </xdr:cNvPr>
        <xdr:cNvSpPr/>
      </xdr:nvSpPr>
      <xdr:spPr>
        <a:xfrm rot="10800000">
          <a:off x="5098350" y="3689513"/>
          <a:ext cx="495300" cy="180975"/>
        </a:xfrm>
        <a:prstGeom prst="leftArrow">
          <a:avLst>
            <a:gd name="adj1" fmla="val 50000"/>
            <a:gd name="adj2" fmla="val 140477"/>
          </a:avLst>
        </a:prstGeom>
        <a:solidFill>
          <a:srgbClr val="FF0000"/>
        </a:solidFill>
        <a:ln w="12700" cap="flat" cmpd="sng">
          <a:solidFill>
            <a:srgbClr val="FF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twoCellAnchor editAs="oneCell">
    <xdr:from>
      <xdr:col>12</xdr:col>
      <xdr:colOff>0</xdr:colOff>
      <xdr:row>1</xdr:row>
      <xdr:rowOff>125393</xdr:rowOff>
    </xdr:from>
    <xdr:to>
      <xdr:col>23</xdr:col>
      <xdr:colOff>9645</xdr:colOff>
      <xdr:row>23</xdr:row>
      <xdr:rowOff>231494</xdr:rowOff>
    </xdr:to>
    <xdr:pic>
      <xdr:nvPicPr>
        <xdr:cNvPr id="3" name="Picture 2">
          <a:extLst>
            <a:ext uri="{FF2B5EF4-FFF2-40B4-BE49-F238E27FC236}">
              <a16:creationId xmlns:a16="http://schemas.microsoft.com/office/drawing/2014/main" xmlns="" id="{AE8EB4AF-09C7-CBAC-AD73-D925B3C85C2B}"/>
            </a:ext>
          </a:extLst>
        </xdr:cNvPr>
        <xdr:cNvPicPr>
          <a:picLocks noChangeAspect="1"/>
        </xdr:cNvPicPr>
      </xdr:nvPicPr>
      <xdr:blipFill>
        <a:blip xmlns:r="http://schemas.openxmlformats.org/officeDocument/2006/relationships" r:embed="rId1"/>
        <a:stretch>
          <a:fillRect/>
        </a:stretch>
      </xdr:blipFill>
      <xdr:spPr>
        <a:xfrm>
          <a:off x="9163291" y="308659"/>
          <a:ext cx="6607215" cy="510250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T23"/>
  <sheetViews>
    <sheetView topLeftCell="I1" zoomScale="85" zoomScaleNormal="85" workbookViewId="0">
      <selection activeCell="L7" sqref="L7:M7"/>
    </sheetView>
  </sheetViews>
  <sheetFormatPr defaultColWidth="14.42578125" defaultRowHeight="15" customHeight="1"/>
  <cols>
    <col min="1" max="1" width="2" customWidth="1"/>
    <col min="2" max="2" width="21.85546875" customWidth="1"/>
    <col min="3" max="6" width="8.85546875" customWidth="1"/>
    <col min="7" max="7" width="5.140625" customWidth="1"/>
    <col min="8" max="8" width="1.85546875" customWidth="1"/>
    <col min="9" max="9" width="9.140625" customWidth="1"/>
    <col min="10" max="10" width="10.140625" customWidth="1"/>
    <col min="11" max="11" width="0.5703125" customWidth="1"/>
    <col min="12" max="12" width="8.85546875" customWidth="1"/>
    <col min="13" max="13" width="15.140625" customWidth="1"/>
    <col min="14" max="14" width="0.5703125" customWidth="1"/>
    <col min="15" max="15" width="8.85546875" customWidth="1"/>
    <col min="16" max="16" width="10.85546875" customWidth="1"/>
    <col min="17" max="17" width="0.85546875" customWidth="1"/>
    <col min="18" max="18" width="26.5703125" customWidth="1"/>
    <col min="19" max="19" width="38.85546875" customWidth="1"/>
    <col min="20" max="20" width="24.85546875" customWidth="1"/>
    <col min="21" max="31" width="8.85546875" customWidth="1"/>
  </cols>
  <sheetData>
    <row r="2" spans="2:20" ht="20.100000000000001" customHeight="1" thickBot="1">
      <c r="B2" s="991" t="s">
        <v>0</v>
      </c>
      <c r="C2" s="992"/>
      <c r="D2" s="993" t="s">
        <v>715</v>
      </c>
      <c r="E2" s="994"/>
      <c r="F2" s="994"/>
      <c r="G2" s="995"/>
      <c r="H2" s="2"/>
      <c r="I2" s="989"/>
      <c r="J2" s="990"/>
      <c r="K2" s="990"/>
      <c r="L2" s="990"/>
      <c r="M2" s="990"/>
      <c r="N2" s="990"/>
      <c r="O2" s="3"/>
      <c r="P2" s="1"/>
      <c r="Q2" s="876"/>
      <c r="R2" s="923"/>
      <c r="S2" s="923"/>
      <c r="T2" s="916" t="s">
        <v>706</v>
      </c>
    </row>
    <row r="3" spans="2:20" ht="20.100000000000001" customHeight="1" thickTop="1" thickBot="1">
      <c r="B3" s="987" t="s">
        <v>2</v>
      </c>
      <c r="C3" s="988"/>
      <c r="D3" s="984"/>
      <c r="E3" s="985"/>
      <c r="F3" s="985"/>
      <c r="G3" s="986"/>
      <c r="H3" s="2"/>
      <c r="I3" s="998" t="s">
        <v>1</v>
      </c>
      <c r="J3" s="999"/>
      <c r="K3" s="999"/>
      <c r="L3" s="999"/>
      <c r="M3" s="1000"/>
      <c r="N3" s="810"/>
      <c r="O3" s="3"/>
      <c r="P3" s="1"/>
      <c r="Q3" s="876"/>
      <c r="R3" s="923"/>
      <c r="S3" s="923"/>
      <c r="T3" s="877" t="s">
        <v>707</v>
      </c>
    </row>
    <row r="4" spans="2:20" ht="20.100000000000001" customHeight="1" thickTop="1" thickBot="1">
      <c r="B4" s="911"/>
      <c r="C4" s="912" t="s">
        <v>3</v>
      </c>
      <c r="D4" s="984"/>
      <c r="E4" s="985"/>
      <c r="F4" s="985"/>
      <c r="G4" s="986"/>
      <c r="H4" s="4"/>
      <c r="I4" s="925"/>
      <c r="J4" s="926"/>
      <c r="K4" s="926"/>
      <c r="L4" s="926"/>
      <c r="M4" s="926"/>
      <c r="N4" s="810"/>
      <c r="O4" s="3"/>
      <c r="P4" s="1"/>
      <c r="Q4" s="876"/>
      <c r="R4" s="923"/>
      <c r="S4" s="923"/>
      <c r="T4" s="877" t="s">
        <v>708</v>
      </c>
    </row>
    <row r="5" spans="2:20" ht="20.100000000000001" customHeight="1" thickTop="1" thickBot="1">
      <c r="B5" s="987" t="s">
        <v>4</v>
      </c>
      <c r="C5" s="988"/>
      <c r="D5" s="984" t="s">
        <v>709</v>
      </c>
      <c r="E5" s="985"/>
      <c r="F5" s="985"/>
      <c r="G5" s="986"/>
      <c r="H5" s="4"/>
      <c r="I5" s="925"/>
      <c r="J5" s="926"/>
      <c r="K5" s="926"/>
      <c r="L5" s="926"/>
      <c r="M5" s="926"/>
      <c r="N5" s="810"/>
      <c r="O5" s="3"/>
      <c r="P5" s="1"/>
      <c r="Q5" s="876"/>
      <c r="R5" s="923"/>
      <c r="S5" s="923"/>
      <c r="T5" s="877" t="s">
        <v>9</v>
      </c>
    </row>
    <row r="6" spans="2:20" ht="20.100000000000001" customHeight="1" thickTop="1" thickBot="1">
      <c r="B6" s="987" t="s">
        <v>5</v>
      </c>
      <c r="C6" s="988"/>
      <c r="D6" s="984"/>
      <c r="E6" s="985"/>
      <c r="F6" s="985"/>
      <c r="G6" s="986"/>
      <c r="H6" s="4"/>
      <c r="I6" s="1007" t="s">
        <v>717</v>
      </c>
      <c r="J6" s="1008"/>
      <c r="K6" s="913"/>
      <c r="L6" s="996" t="s">
        <v>855</v>
      </c>
      <c r="M6" s="997"/>
      <c r="N6" s="810"/>
      <c r="O6" s="1015" t="s">
        <v>710</v>
      </c>
      <c r="P6" s="1016"/>
      <c r="Q6" s="876"/>
      <c r="R6" s="921" t="s">
        <v>832</v>
      </c>
      <c r="S6" s="923"/>
      <c r="T6" s="877" t="s">
        <v>7</v>
      </c>
    </row>
    <row r="7" spans="2:20" ht="20.100000000000001" customHeight="1" thickTop="1" thickBot="1">
      <c r="B7" s="1011" t="s">
        <v>716</v>
      </c>
      <c r="C7" s="1012"/>
      <c r="D7" s="984" t="s">
        <v>852</v>
      </c>
      <c r="E7" s="985"/>
      <c r="F7" s="985"/>
      <c r="G7" s="986"/>
      <c r="H7" s="4"/>
      <c r="I7" s="1013" t="s">
        <v>718</v>
      </c>
      <c r="J7" s="1014"/>
      <c r="K7" s="914"/>
      <c r="L7" s="1003" t="s">
        <v>857</v>
      </c>
      <c r="M7" s="1004"/>
      <c r="N7" s="810"/>
      <c r="O7" s="1001" t="s">
        <v>712</v>
      </c>
      <c r="P7" s="1002"/>
      <c r="Q7" s="876"/>
      <c r="R7" s="922" t="s">
        <v>831</v>
      </c>
      <c r="S7" s="923"/>
      <c r="T7" s="877" t="s">
        <v>709</v>
      </c>
    </row>
    <row r="8" spans="2:20" ht="20.100000000000001" customHeight="1" thickTop="1" thickBot="1">
      <c r="B8" s="1009" t="s">
        <v>6</v>
      </c>
      <c r="C8" s="1010"/>
      <c r="D8" s="984" t="s">
        <v>853</v>
      </c>
      <c r="E8" s="985"/>
      <c r="F8" s="985"/>
      <c r="G8" s="986"/>
      <c r="H8" s="5"/>
      <c r="I8" s="1005" t="s">
        <v>719</v>
      </c>
      <c r="J8" s="1006"/>
      <c r="K8" s="915"/>
      <c r="L8" s="915"/>
      <c r="M8" s="915"/>
      <c r="N8" s="6"/>
      <c r="O8" s="6"/>
      <c r="P8" s="1"/>
      <c r="Q8" s="876"/>
      <c r="R8" s="923"/>
      <c r="S8" s="923"/>
      <c r="T8" s="876"/>
    </row>
    <row r="9" spans="2:20" ht="15" customHeight="1">
      <c r="B9" s="1"/>
      <c r="C9" s="7"/>
      <c r="D9" s="8"/>
      <c r="E9" s="9"/>
      <c r="F9" s="9"/>
      <c r="G9" s="9"/>
      <c r="H9" s="10"/>
      <c r="I9" s="10"/>
      <c r="J9" s="1"/>
      <c r="K9" s="3"/>
      <c r="L9" s="6"/>
      <c r="M9" s="6"/>
      <c r="N9" s="6"/>
      <c r="O9" s="6"/>
      <c r="P9" s="6"/>
      <c r="Q9" s="876"/>
      <c r="R9" s="923"/>
      <c r="S9" s="923"/>
      <c r="T9" s="878" t="s">
        <v>710</v>
      </c>
    </row>
    <row r="10" spans="2:20">
      <c r="B10" s="11"/>
      <c r="C10" s="11"/>
      <c r="D10" s="11"/>
      <c r="E10" s="11"/>
      <c r="F10" s="11"/>
      <c r="G10" s="11"/>
      <c r="H10" s="11"/>
      <c r="I10" s="12"/>
      <c r="J10" s="11"/>
      <c r="P10" s="1"/>
      <c r="R10" s="924"/>
      <c r="S10" s="924"/>
      <c r="T10" s="877" t="s">
        <v>711</v>
      </c>
    </row>
    <row r="11" spans="2:20">
      <c r="B11" s="11"/>
      <c r="C11" s="11"/>
      <c r="D11" s="11"/>
      <c r="E11" s="11"/>
      <c r="F11" s="11"/>
      <c r="G11" s="11"/>
      <c r="H11" s="11"/>
      <c r="I11" s="12"/>
      <c r="J11" s="11"/>
      <c r="O11" s="1"/>
      <c r="P11" s="1"/>
      <c r="R11" s="924"/>
      <c r="S11" s="924"/>
      <c r="T11" s="877" t="s">
        <v>712</v>
      </c>
    </row>
    <row r="12" spans="2:20">
      <c r="B12" s="13"/>
      <c r="C12" s="11"/>
      <c r="D12" s="11"/>
      <c r="E12" s="11"/>
      <c r="F12" s="11"/>
      <c r="G12" s="11"/>
      <c r="H12" s="11"/>
      <c r="I12" s="12"/>
      <c r="J12" s="11"/>
      <c r="O12" s="1"/>
      <c r="P12" s="1"/>
      <c r="R12" s="924"/>
      <c r="S12" s="924"/>
      <c r="T12" s="877" t="s">
        <v>713</v>
      </c>
    </row>
    <row r="13" spans="2:20">
      <c r="B13" s="13"/>
      <c r="C13" s="11"/>
      <c r="D13" s="11"/>
      <c r="E13" s="11"/>
      <c r="F13" s="11"/>
      <c r="G13" s="11"/>
      <c r="H13" s="11"/>
      <c r="I13" s="12"/>
      <c r="J13" s="11"/>
      <c r="O13" s="1"/>
      <c r="P13" s="1"/>
      <c r="R13" s="924"/>
      <c r="S13" s="924"/>
      <c r="T13" s="877" t="s">
        <v>714</v>
      </c>
    </row>
    <row r="14" spans="2:20">
      <c r="B14" s="13"/>
      <c r="C14" s="11"/>
      <c r="D14" s="11"/>
      <c r="E14" s="11"/>
      <c r="F14" s="11"/>
      <c r="G14" s="11"/>
      <c r="H14" s="11"/>
      <c r="I14" s="12"/>
      <c r="J14" s="11"/>
      <c r="O14" s="1"/>
      <c r="P14" s="1"/>
      <c r="R14" s="924"/>
      <c r="S14" s="924"/>
    </row>
    <row r="15" spans="2:20">
      <c r="B15" s="13" t="s">
        <v>10</v>
      </c>
      <c r="C15" s="11"/>
      <c r="D15" s="11"/>
      <c r="E15" s="11"/>
      <c r="F15" s="11"/>
      <c r="G15" s="11"/>
      <c r="H15" s="11"/>
      <c r="I15" s="12"/>
      <c r="J15" s="11"/>
      <c r="O15" s="1"/>
      <c r="P15" s="1"/>
      <c r="R15" s="924"/>
      <c r="S15" s="924"/>
      <c r="T15" s="917" t="s">
        <v>855</v>
      </c>
    </row>
    <row r="16" spans="2:20">
      <c r="B16" s="11"/>
      <c r="C16" s="11"/>
      <c r="D16" s="11"/>
      <c r="E16" s="11"/>
      <c r="F16" s="11"/>
      <c r="G16" s="11"/>
      <c r="H16" s="11"/>
      <c r="I16" s="12"/>
      <c r="J16" s="11"/>
      <c r="O16" s="1"/>
      <c r="P16" s="1"/>
      <c r="R16" s="924"/>
      <c r="S16" s="924"/>
      <c r="T16" s="928" t="s">
        <v>828</v>
      </c>
    </row>
    <row r="17" spans="20:20">
      <c r="T17" s="928" t="s">
        <v>856</v>
      </c>
    </row>
    <row r="18" spans="20:20">
      <c r="T18" s="928" t="s">
        <v>857</v>
      </c>
    </row>
    <row r="19" spans="20:20">
      <c r="T19" s="879" t="s">
        <v>342</v>
      </c>
    </row>
    <row r="21" spans="20:20" ht="15.75" customHeight="1">
      <c r="T21" s="918" t="s">
        <v>829</v>
      </c>
    </row>
    <row r="22" spans="20:20" ht="15.75" customHeight="1">
      <c r="T22" s="919" t="s">
        <v>830</v>
      </c>
    </row>
    <row r="23" spans="20:20" ht="15.75" customHeight="1">
      <c r="T23" s="920" t="s">
        <v>831</v>
      </c>
    </row>
  </sheetData>
  <mergeCells count="22">
    <mergeCell ref="O7:P7"/>
    <mergeCell ref="L7:M7"/>
    <mergeCell ref="I8:J8"/>
    <mergeCell ref="I6:J6"/>
    <mergeCell ref="B8:C8"/>
    <mergeCell ref="D6:G6"/>
    <mergeCell ref="B7:C7"/>
    <mergeCell ref="D7:G7"/>
    <mergeCell ref="D8:G8"/>
    <mergeCell ref="I7:J7"/>
    <mergeCell ref="O6:P6"/>
    <mergeCell ref="D5:G5"/>
    <mergeCell ref="B5:C5"/>
    <mergeCell ref="B6:C6"/>
    <mergeCell ref="I2:N2"/>
    <mergeCell ref="B2:C2"/>
    <mergeCell ref="D2:G2"/>
    <mergeCell ref="B3:C3"/>
    <mergeCell ref="D3:G3"/>
    <mergeCell ref="D4:G4"/>
    <mergeCell ref="L6:M6"/>
    <mergeCell ref="I3:M3"/>
  </mergeCells>
  <dataValidations count="4">
    <dataValidation type="list" allowBlank="1" showInputMessage="1" showErrorMessage="1" sqref="D5:G5">
      <formula1>$T$3:$T$7</formula1>
    </dataValidation>
    <dataValidation type="list" allowBlank="1" showInputMessage="1" showErrorMessage="1" sqref="O7:P7">
      <formula1>$T$10:$T$13</formula1>
    </dataValidation>
    <dataValidation type="list" allowBlank="1" showInputMessage="1" showErrorMessage="1" sqref="R7">
      <formula1>$T$22:$T$23</formula1>
    </dataValidation>
    <dataValidation type="list" allowBlank="1" showInputMessage="1" showErrorMessage="1" sqref="L7:M7">
      <formula1>$T$16:$T$19</formula1>
    </dataValidation>
  </dataValidations>
  <pageMargins left="0.7" right="0.7" top="0.75" bottom="0.75" header="0" footer="0"/>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I18"/>
  <sheetViews>
    <sheetView workbookViewId="0">
      <selection activeCell="J19" sqref="J19"/>
    </sheetView>
  </sheetViews>
  <sheetFormatPr defaultColWidth="14.42578125" defaultRowHeight="15" customHeight="1"/>
  <cols>
    <col min="1" max="1" width="2.5703125" customWidth="1"/>
    <col min="2" max="2" width="3.85546875" customWidth="1"/>
    <col min="3" max="3" width="42" customWidth="1"/>
    <col min="4" max="4" width="6.85546875" customWidth="1"/>
    <col min="5" max="5" width="28.85546875" customWidth="1"/>
    <col min="6" max="6" width="1.85546875" customWidth="1"/>
    <col min="7" max="7" width="47.85546875" customWidth="1"/>
    <col min="8" max="8" width="3.140625" hidden="1" customWidth="1"/>
    <col min="9" max="9" width="9.140625" customWidth="1"/>
    <col min="10" max="26" width="8.85546875" customWidth="1"/>
  </cols>
  <sheetData>
    <row r="2" spans="2:9" ht="21" customHeight="1">
      <c r="B2" s="1187" t="s">
        <v>69</v>
      </c>
      <c r="C2" s="1018"/>
      <c r="D2" s="1018"/>
      <c r="E2" s="1018"/>
      <c r="F2" s="1018"/>
      <c r="G2" s="1018"/>
      <c r="H2" s="1018"/>
      <c r="I2" s="1018"/>
    </row>
    <row r="3" spans="2:9" ht="15.75" thickBot="1">
      <c r="B3" s="14"/>
      <c r="C3" s="1"/>
      <c r="D3" s="14"/>
      <c r="E3" s="1"/>
      <c r="F3" s="14"/>
      <c r="G3" s="1"/>
      <c r="H3" s="1"/>
      <c r="I3" s="1"/>
    </row>
    <row r="4" spans="2:9" ht="40.5" customHeight="1" thickTop="1">
      <c r="B4" s="290">
        <v>1</v>
      </c>
      <c r="C4" s="291" t="s">
        <v>152</v>
      </c>
      <c r="D4" s="1207" t="s">
        <v>153</v>
      </c>
      <c r="E4" s="1208"/>
      <c r="F4" s="1"/>
      <c r="G4" s="1217" t="s">
        <v>673</v>
      </c>
      <c r="H4" s="1218"/>
      <c r="I4" s="1219"/>
    </row>
    <row r="5" spans="2:9" ht="25.5">
      <c r="B5" s="292">
        <v>2</v>
      </c>
      <c r="C5" s="184" t="s">
        <v>154</v>
      </c>
      <c r="D5" s="1052"/>
      <c r="E5" s="1209"/>
      <c r="F5" s="1"/>
      <c r="G5" s="817"/>
      <c r="H5" s="818"/>
      <c r="I5" s="819"/>
    </row>
    <row r="6" spans="2:9" ht="81" customHeight="1">
      <c r="B6" s="292">
        <v>3</v>
      </c>
      <c r="C6" s="184" t="s">
        <v>155</v>
      </c>
      <c r="D6" s="1054"/>
      <c r="E6" s="1210"/>
      <c r="F6" s="1"/>
      <c r="G6" s="293"/>
      <c r="H6" s="294"/>
      <c r="I6" s="295"/>
    </row>
    <row r="7" spans="2:9" ht="15" customHeight="1">
      <c r="B7" s="292">
        <v>4</v>
      </c>
      <c r="C7" s="184" t="s">
        <v>156</v>
      </c>
      <c r="D7" s="1211" t="s">
        <v>157</v>
      </c>
      <c r="E7" s="1212"/>
      <c r="F7" s="138"/>
      <c r="G7" s="293"/>
      <c r="H7" s="294"/>
      <c r="I7" s="295"/>
    </row>
    <row r="8" spans="2:9" ht="39.75" customHeight="1">
      <c r="B8" s="292">
        <v>5</v>
      </c>
      <c r="C8" s="190" t="s">
        <v>158</v>
      </c>
      <c r="D8" s="1054"/>
      <c r="E8" s="1210"/>
      <c r="F8" s="1"/>
      <c r="G8" s="293"/>
      <c r="H8" s="294"/>
      <c r="I8" s="295"/>
    </row>
    <row r="9" spans="2:9" ht="41.25" customHeight="1">
      <c r="B9" s="296">
        <v>6</v>
      </c>
      <c r="C9" s="297" t="s">
        <v>159</v>
      </c>
      <c r="D9" s="1213" t="s">
        <v>160</v>
      </c>
      <c r="E9" s="1214"/>
      <c r="F9" s="1"/>
      <c r="G9" s="293"/>
      <c r="H9" s="294"/>
      <c r="I9" s="295"/>
    </row>
    <row r="10" spans="2:9" ht="9" customHeight="1">
      <c r="B10" s="298"/>
      <c r="C10" s="299"/>
      <c r="D10" s="298"/>
      <c r="E10" s="299"/>
      <c r="F10" s="1"/>
      <c r="G10" s="293"/>
      <c r="H10" s="294"/>
      <c r="I10" s="295"/>
    </row>
    <row r="11" spans="2:9" ht="35.25" customHeight="1">
      <c r="B11" s="1215" t="s">
        <v>161</v>
      </c>
      <c r="C11" s="1111"/>
      <c r="D11" s="1111"/>
      <c r="E11" s="1138"/>
      <c r="G11" s="293"/>
      <c r="H11" s="294"/>
      <c r="I11" s="295"/>
    </row>
    <row r="12" spans="2:9" ht="8.25" customHeight="1">
      <c r="B12" s="300"/>
      <c r="C12" s="301"/>
      <c r="D12" s="300"/>
      <c r="E12" s="301"/>
      <c r="F12" s="1"/>
      <c r="G12" s="293"/>
      <c r="H12" s="294"/>
      <c r="I12" s="295"/>
    </row>
    <row r="13" spans="2:9" ht="38.25">
      <c r="B13" s="302">
        <v>1</v>
      </c>
      <c r="C13" s="303" t="s">
        <v>162</v>
      </c>
      <c r="D13" s="1216" t="s">
        <v>163</v>
      </c>
      <c r="E13" s="1048"/>
      <c r="G13" s="293"/>
      <c r="H13" s="294"/>
      <c r="I13" s="295"/>
    </row>
    <row r="14" spans="2:9" ht="38.25">
      <c r="B14" s="302">
        <v>2</v>
      </c>
      <c r="C14" s="303" t="s">
        <v>164</v>
      </c>
      <c r="D14" s="1204" t="s">
        <v>165</v>
      </c>
      <c r="E14" s="1075"/>
      <c r="G14" s="293"/>
      <c r="H14" s="294"/>
      <c r="I14" s="295"/>
    </row>
    <row r="15" spans="2:9" ht="25.5">
      <c r="B15" s="304">
        <v>3</v>
      </c>
      <c r="C15" s="190" t="s">
        <v>166</v>
      </c>
      <c r="D15" s="1052"/>
      <c r="E15" s="1076"/>
      <c r="F15" s="16"/>
      <c r="G15" s="293"/>
      <c r="H15" s="294"/>
      <c r="I15" s="295"/>
    </row>
    <row r="16" spans="2:9" ht="25.5">
      <c r="B16" s="304">
        <v>4</v>
      </c>
      <c r="C16" s="190" t="s">
        <v>167</v>
      </c>
      <c r="D16" s="1054"/>
      <c r="E16" s="1077"/>
      <c r="F16" s="16"/>
      <c r="G16" s="293"/>
      <c r="H16" s="294"/>
      <c r="I16" s="295"/>
    </row>
    <row r="18" spans="2:5" ht="24.75" customHeight="1">
      <c r="B18" s="1205" t="s">
        <v>583</v>
      </c>
      <c r="C18" s="1206"/>
      <c r="D18" s="1206"/>
      <c r="E18" s="983">
        <v>12</v>
      </c>
    </row>
  </sheetData>
  <mergeCells count="9">
    <mergeCell ref="D14:E16"/>
    <mergeCell ref="B18:D18"/>
    <mergeCell ref="B2:I2"/>
    <mergeCell ref="D4:E6"/>
    <mergeCell ref="D7:E8"/>
    <mergeCell ref="D9:E9"/>
    <mergeCell ref="B11:E11"/>
    <mergeCell ref="D13:E13"/>
    <mergeCell ref="G4:I4"/>
  </mergeCells>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S67"/>
  <sheetViews>
    <sheetView topLeftCell="H8" zoomScale="115" zoomScaleNormal="115" workbookViewId="0">
      <selection activeCell="N4" sqref="N4:R20"/>
    </sheetView>
  </sheetViews>
  <sheetFormatPr defaultColWidth="14.42578125" defaultRowHeight="15" customHeight="1"/>
  <cols>
    <col min="1" max="1" width="4.42578125" customWidth="1"/>
    <col min="2" max="2" width="9.42578125" customWidth="1"/>
    <col min="3" max="3" width="40.42578125" customWidth="1"/>
    <col min="4" max="4" width="3.85546875" customWidth="1"/>
    <col min="5" max="5" width="47.85546875" customWidth="1"/>
    <col min="6" max="6" width="3.85546875" customWidth="1"/>
    <col min="7" max="7" width="46" customWidth="1"/>
    <col min="8" max="8" width="3.85546875" customWidth="1"/>
    <col min="9" max="9" width="38.5703125" customWidth="1"/>
    <col min="10" max="10" width="3.85546875" customWidth="1"/>
    <col min="11" max="11" width="41.140625" customWidth="1"/>
    <col min="12" max="12" width="4.5703125" customWidth="1"/>
    <col min="13" max="13" width="1.85546875" customWidth="1"/>
    <col min="14" max="14" width="2.140625" customWidth="1"/>
    <col min="15" max="15" width="9.140625" customWidth="1"/>
    <col min="16" max="16" width="6.140625" customWidth="1"/>
    <col min="17" max="17" width="8.85546875" customWidth="1"/>
    <col min="18" max="18" width="48.85546875" customWidth="1"/>
    <col min="19" max="26" width="8.85546875" customWidth="1"/>
  </cols>
  <sheetData>
    <row r="2" spans="2:18" ht="27" customHeight="1" thickBot="1">
      <c r="B2" s="1235" t="s">
        <v>168</v>
      </c>
      <c r="C2" s="1111"/>
      <c r="D2" s="1111"/>
      <c r="E2" s="1111"/>
      <c r="F2" s="1111"/>
      <c r="G2" s="1111"/>
      <c r="H2" s="1111"/>
      <c r="I2" s="1111"/>
      <c r="J2" s="1111"/>
      <c r="K2" s="1111"/>
      <c r="L2" s="1138"/>
      <c r="M2" s="305"/>
      <c r="N2" s="1236" t="s">
        <v>582</v>
      </c>
      <c r="O2" s="1237"/>
      <c r="P2" s="1237"/>
      <c r="Q2" s="1237"/>
      <c r="R2" s="1237"/>
    </row>
    <row r="3" spans="2:18" ht="6.75" customHeight="1" thickBot="1">
      <c r="B3" s="14"/>
      <c r="C3" s="1238"/>
      <c r="D3" s="1018"/>
      <c r="E3" s="1018"/>
      <c r="F3" s="1018"/>
      <c r="G3" s="1018"/>
      <c r="H3" s="1018"/>
      <c r="I3" s="1018"/>
      <c r="J3" s="1018"/>
      <c r="K3" s="1018"/>
      <c r="L3" s="1023"/>
      <c r="M3" s="223"/>
      <c r="N3" s="306"/>
      <c r="O3" s="307"/>
      <c r="P3" s="120"/>
      <c r="Q3" s="120"/>
      <c r="R3" s="308"/>
    </row>
    <row r="4" spans="2:18" ht="23.25">
      <c r="B4" s="1239" t="s">
        <v>863</v>
      </c>
      <c r="C4" s="1090"/>
      <c r="D4" s="1090"/>
      <c r="E4" s="1090"/>
      <c r="F4" s="1090"/>
      <c r="G4" s="1090"/>
      <c r="H4" s="1090"/>
      <c r="I4" s="1090"/>
      <c r="J4" s="1090"/>
      <c r="K4" s="1090"/>
      <c r="L4" s="1091"/>
      <c r="M4" s="215"/>
      <c r="N4" s="1240"/>
      <c r="O4" s="1228"/>
      <c r="P4" s="1228"/>
      <c r="Q4" s="1228"/>
      <c r="R4" s="1241"/>
    </row>
    <row r="5" spans="2:18" ht="28.35" customHeight="1">
      <c r="B5" s="1256" t="s">
        <v>894</v>
      </c>
      <c r="C5" s="1257"/>
      <c r="D5" s="1257"/>
      <c r="E5" s="1257"/>
      <c r="F5" s="1257"/>
      <c r="G5" s="1257"/>
      <c r="H5" s="1257"/>
      <c r="I5" s="1257"/>
      <c r="J5" s="1257"/>
      <c r="K5" s="1257"/>
      <c r="L5" s="1258"/>
      <c r="M5" s="215"/>
      <c r="N5" s="1242"/>
      <c r="O5" s="1045"/>
      <c r="P5" s="1045"/>
      <c r="Q5" s="1045"/>
      <c r="R5" s="1076"/>
    </row>
    <row r="6" spans="2:18" ht="22.5" customHeight="1" thickBot="1">
      <c r="B6" s="309" t="s">
        <v>121</v>
      </c>
      <c r="C6" s="310">
        <v>1</v>
      </c>
      <c r="D6" s="311">
        <v>2</v>
      </c>
      <c r="E6" s="311">
        <v>3</v>
      </c>
      <c r="F6" s="311">
        <v>4</v>
      </c>
      <c r="G6" s="311">
        <v>5</v>
      </c>
      <c r="H6" s="311">
        <v>6</v>
      </c>
      <c r="I6" s="311">
        <v>7</v>
      </c>
      <c r="J6" s="311">
        <v>8</v>
      </c>
      <c r="K6" s="311">
        <v>9</v>
      </c>
      <c r="L6" s="312">
        <v>10</v>
      </c>
      <c r="M6" s="215"/>
      <c r="N6" s="1242"/>
      <c r="O6" s="1045"/>
      <c r="P6" s="1045"/>
      <c r="Q6" s="1045"/>
      <c r="R6" s="1076"/>
    </row>
    <row r="7" spans="2:18" ht="21.75" customHeight="1">
      <c r="B7" s="314"/>
      <c r="C7" s="315" t="s">
        <v>169</v>
      </c>
      <c r="D7" s="316">
        <f>TC!C39</f>
        <v>0</v>
      </c>
      <c r="E7" s="317" t="s">
        <v>170</v>
      </c>
      <c r="F7" s="316">
        <f>TC!C40</f>
        <v>1</v>
      </c>
      <c r="G7" s="317" t="s">
        <v>171</v>
      </c>
      <c r="H7" s="318">
        <f>TC!C41</f>
        <v>4</v>
      </c>
      <c r="I7" s="319" t="s">
        <v>172</v>
      </c>
      <c r="J7" s="316">
        <f>TC!C42</f>
        <v>13</v>
      </c>
      <c r="K7" s="317" t="s">
        <v>173</v>
      </c>
      <c r="L7" s="318">
        <f>TC!C43</f>
        <v>28</v>
      </c>
      <c r="M7" s="215"/>
      <c r="N7" s="1242"/>
      <c r="O7" s="1045"/>
      <c r="P7" s="1045"/>
      <c r="Q7" s="1045"/>
      <c r="R7" s="1076"/>
    </row>
    <row r="8" spans="2:18" ht="35.25" customHeight="1">
      <c r="B8" s="320" t="s">
        <v>126</v>
      </c>
      <c r="C8" s="1246" t="s">
        <v>127</v>
      </c>
      <c r="D8" s="1247"/>
      <c r="E8" s="1248" t="s">
        <v>128</v>
      </c>
      <c r="F8" s="1073"/>
      <c r="G8" s="1073"/>
      <c r="H8" s="1073"/>
      <c r="I8" s="1073"/>
      <c r="J8" s="1073"/>
      <c r="K8" s="1073"/>
      <c r="L8" s="1074"/>
      <c r="M8" s="215"/>
      <c r="N8" s="1242"/>
      <c r="O8" s="1045"/>
      <c r="P8" s="1045"/>
      <c r="Q8" s="1045"/>
      <c r="R8" s="1076"/>
    </row>
    <row r="9" spans="2:18" ht="15.75">
      <c r="B9" s="180">
        <v>1</v>
      </c>
      <c r="C9" s="1249" t="s">
        <v>174</v>
      </c>
      <c r="D9" s="1081"/>
      <c r="E9" s="1081"/>
      <c r="F9" s="1081"/>
      <c r="G9" s="1081"/>
      <c r="H9" s="321"/>
      <c r="I9" s="1250"/>
      <c r="J9" s="1081"/>
      <c r="K9" s="1081"/>
      <c r="L9" s="1098"/>
      <c r="M9" s="324"/>
      <c r="N9" s="1242"/>
      <c r="O9" s="1045"/>
      <c r="P9" s="1045"/>
      <c r="Q9" s="1045"/>
      <c r="R9" s="1076"/>
    </row>
    <row r="10" spans="2:18" ht="26.25" thickBot="1">
      <c r="B10" s="180">
        <v>2</v>
      </c>
      <c r="C10" s="1251" t="s">
        <v>920</v>
      </c>
      <c r="D10" s="1252"/>
      <c r="E10" s="1252"/>
      <c r="F10" s="1252"/>
      <c r="G10" s="1252"/>
      <c r="H10" s="1252"/>
      <c r="I10" s="1252"/>
      <c r="J10" s="1252"/>
      <c r="K10" s="325" t="s">
        <v>175</v>
      </c>
      <c r="L10" s="323"/>
      <c r="M10" s="221"/>
      <c r="N10" s="1242"/>
      <c r="O10" s="1045"/>
      <c r="P10" s="1045"/>
      <c r="Q10" s="1045"/>
      <c r="R10" s="1076"/>
    </row>
    <row r="11" spans="2:18" ht="26.25" thickBot="1">
      <c r="B11" s="180">
        <v>3</v>
      </c>
      <c r="C11" s="1105"/>
      <c r="D11" s="1253"/>
      <c r="E11" s="1253"/>
      <c r="F11" s="1253"/>
      <c r="G11" s="1253"/>
      <c r="H11" s="1253"/>
      <c r="I11" s="1253"/>
      <c r="J11" s="1142"/>
      <c r="K11" s="325" t="s">
        <v>176</v>
      </c>
      <c r="L11" s="189"/>
      <c r="M11" s="221"/>
      <c r="N11" s="1242"/>
      <c r="O11" s="1045"/>
      <c r="P11" s="1045"/>
      <c r="Q11" s="1045"/>
      <c r="R11" s="1076"/>
    </row>
    <row r="12" spans="2:18" ht="26.25" thickBot="1">
      <c r="B12" s="180">
        <v>4</v>
      </c>
      <c r="C12" s="1105"/>
      <c r="D12" s="1253"/>
      <c r="E12" s="1253"/>
      <c r="F12" s="1253"/>
      <c r="G12" s="1253"/>
      <c r="H12" s="1253"/>
      <c r="I12" s="1253"/>
      <c r="J12" s="1142"/>
      <c r="K12" s="325" t="s">
        <v>177</v>
      </c>
      <c r="L12" s="189"/>
      <c r="M12" s="221"/>
      <c r="N12" s="1242"/>
      <c r="O12" s="1045"/>
      <c r="P12" s="1045"/>
      <c r="Q12" s="1045"/>
      <c r="R12" s="1076"/>
    </row>
    <row r="13" spans="2:18" ht="15.75" thickBot="1">
      <c r="B13" s="180">
        <v>5</v>
      </c>
      <c r="C13" s="1254"/>
      <c r="D13" s="1255"/>
      <c r="E13" s="1255"/>
      <c r="F13" s="1255"/>
      <c r="G13" s="1255"/>
      <c r="H13" s="1255"/>
      <c r="I13" s="1255"/>
      <c r="J13" s="1255"/>
      <c r="K13" s="968"/>
      <c r="L13" s="969"/>
      <c r="M13" s="221"/>
      <c r="N13" s="1242"/>
      <c r="O13" s="1045"/>
      <c r="P13" s="1045"/>
      <c r="Q13" s="1045"/>
      <c r="R13" s="1076"/>
    </row>
    <row r="14" spans="2:18" ht="92.25" thickBot="1">
      <c r="B14" s="180">
        <v>6</v>
      </c>
      <c r="C14" s="187" t="s">
        <v>620</v>
      </c>
      <c r="D14" s="327"/>
      <c r="E14" s="854" t="s">
        <v>631</v>
      </c>
      <c r="F14" s="329"/>
      <c r="G14" s="854" t="s">
        <v>636</v>
      </c>
      <c r="H14" s="330"/>
      <c r="I14" s="769" t="s">
        <v>640</v>
      </c>
      <c r="J14" s="329"/>
      <c r="K14" s="769" t="s">
        <v>646</v>
      </c>
      <c r="L14" s="331"/>
      <c r="M14" s="221"/>
      <c r="N14" s="1242"/>
      <c r="O14" s="1045"/>
      <c r="P14" s="1045"/>
      <c r="Q14" s="1045"/>
      <c r="R14" s="1076"/>
    </row>
    <row r="15" spans="2:18" ht="26.25" thickBot="1">
      <c r="B15" s="180">
        <v>7</v>
      </c>
      <c r="C15" s="187" t="s">
        <v>621</v>
      </c>
      <c r="D15" s="332"/>
      <c r="E15" s="855" t="s">
        <v>632</v>
      </c>
      <c r="F15" s="188"/>
      <c r="G15" s="855" t="s">
        <v>635</v>
      </c>
      <c r="H15" s="333"/>
      <c r="I15" s="769" t="s">
        <v>641</v>
      </c>
      <c r="J15" s="188"/>
      <c r="K15" s="769" t="s">
        <v>647</v>
      </c>
      <c r="L15" s="334"/>
      <c r="M15" s="221"/>
      <c r="N15" s="1242"/>
      <c r="O15" s="1045"/>
      <c r="P15" s="1045"/>
      <c r="Q15" s="1045"/>
      <c r="R15" s="1076"/>
    </row>
    <row r="16" spans="2:18" ht="74.099999999999994" customHeight="1" thickBot="1">
      <c r="B16" s="180">
        <v>8</v>
      </c>
      <c r="C16" s="335" t="s">
        <v>622</v>
      </c>
      <c r="D16" s="336"/>
      <c r="E16" s="856" t="s">
        <v>626</v>
      </c>
      <c r="F16" s="278"/>
      <c r="G16" s="854" t="s">
        <v>627</v>
      </c>
      <c r="H16" s="333"/>
      <c r="I16" s="769" t="s">
        <v>642</v>
      </c>
      <c r="J16" s="188"/>
      <c r="K16" s="184" t="s">
        <v>854</v>
      </c>
      <c r="L16" s="337"/>
      <c r="M16" s="221"/>
      <c r="N16" s="1242"/>
      <c r="O16" s="1045"/>
      <c r="P16" s="1045"/>
      <c r="Q16" s="1045"/>
      <c r="R16" s="1076"/>
    </row>
    <row r="17" spans="2:18" ht="57.6" customHeight="1" thickBot="1">
      <c r="B17" s="180">
        <v>9</v>
      </c>
      <c r="C17" s="335" t="s">
        <v>623</v>
      </c>
      <c r="D17" s="336"/>
      <c r="E17" s="854" t="s">
        <v>633</v>
      </c>
      <c r="F17" s="278"/>
      <c r="G17" s="855" t="s">
        <v>637</v>
      </c>
      <c r="H17" s="333"/>
      <c r="I17" s="328" t="s">
        <v>179</v>
      </c>
      <c r="J17" s="188"/>
      <c r="K17" s="830" t="s">
        <v>648</v>
      </c>
      <c r="L17" s="337"/>
      <c r="M17" s="221"/>
      <c r="N17" s="1242"/>
      <c r="O17" s="1045"/>
      <c r="P17" s="1045"/>
      <c r="Q17" s="1045"/>
      <c r="R17" s="1076"/>
    </row>
    <row r="18" spans="2:18" ht="51.75" thickBot="1">
      <c r="B18" s="180">
        <v>10</v>
      </c>
      <c r="C18" s="335" t="s">
        <v>624</v>
      </c>
      <c r="D18" s="336"/>
      <c r="E18" s="857" t="s">
        <v>634</v>
      </c>
      <c r="F18" s="278"/>
      <c r="G18" s="854" t="s">
        <v>638</v>
      </c>
      <c r="H18" s="333"/>
      <c r="I18" s="769" t="s">
        <v>645</v>
      </c>
      <c r="J18" s="188"/>
      <c r="K18" s="782" t="s">
        <v>649</v>
      </c>
      <c r="L18" s="337"/>
      <c r="M18" s="223"/>
      <c r="N18" s="1242"/>
      <c r="O18" s="1045"/>
      <c r="P18" s="1045"/>
      <c r="Q18" s="1045"/>
      <c r="R18" s="1076"/>
    </row>
    <row r="19" spans="2:18" ht="26.25" thickBot="1">
      <c r="B19" s="180">
        <v>11</v>
      </c>
      <c r="C19" s="335" t="s">
        <v>180</v>
      </c>
      <c r="D19" s="339"/>
      <c r="E19" s="338" t="s">
        <v>625</v>
      </c>
      <c r="F19" s="281"/>
      <c r="G19" s="857" t="s">
        <v>639</v>
      </c>
      <c r="H19" s="340"/>
      <c r="I19" s="769" t="s">
        <v>643</v>
      </c>
      <c r="J19" s="188"/>
      <c r="K19" s="769" t="s">
        <v>650</v>
      </c>
      <c r="L19" s="337"/>
      <c r="M19" s="343"/>
      <c r="N19" s="1242"/>
      <c r="O19" s="1045"/>
      <c r="P19" s="1045"/>
      <c r="Q19" s="1045"/>
      <c r="R19" s="1076"/>
    </row>
    <row r="20" spans="2:18" ht="39" thickBot="1">
      <c r="B20" s="309">
        <v>12</v>
      </c>
      <c r="C20" s="860" t="s">
        <v>629</v>
      </c>
      <c r="D20" s="858"/>
      <c r="E20" s="859" t="s">
        <v>630</v>
      </c>
      <c r="F20" s="858"/>
      <c r="G20" s="859" t="s">
        <v>628</v>
      </c>
      <c r="H20" s="858"/>
      <c r="I20" s="828" t="s">
        <v>644</v>
      </c>
      <c r="J20" s="192"/>
      <c r="K20" s="828" t="s">
        <v>651</v>
      </c>
      <c r="L20" s="342"/>
      <c r="M20" s="343"/>
      <c r="N20" s="1243"/>
      <c r="O20" s="1244"/>
      <c r="P20" s="1244"/>
      <c r="Q20" s="1244"/>
      <c r="R20" s="1245"/>
    </row>
    <row r="21" spans="2:18" ht="9.75" customHeight="1" thickBot="1">
      <c r="B21" s="344"/>
      <c r="C21" s="345" t="s">
        <v>129</v>
      </c>
      <c r="D21" s="346">
        <f>SUM(D14:D19)</f>
        <v>0</v>
      </c>
      <c r="E21" s="347" t="s">
        <v>129</v>
      </c>
      <c r="F21" s="347">
        <f>SUM(F14:F19)</f>
        <v>0</v>
      </c>
      <c r="G21" s="347"/>
      <c r="H21" s="347">
        <f>SUM(H14:H20)</f>
        <v>0</v>
      </c>
      <c r="I21" s="347" t="s">
        <v>129</v>
      </c>
      <c r="J21" s="347">
        <f>SUM(J14:J20)</f>
        <v>0</v>
      </c>
      <c r="K21" s="347" t="s">
        <v>129</v>
      </c>
      <c r="L21" s="348">
        <f>SUM(L14:L20)</f>
        <v>0</v>
      </c>
      <c r="M21" s="350"/>
      <c r="N21" s="24"/>
      <c r="O21" s="24"/>
      <c r="P21" s="24"/>
      <c r="Q21" s="24"/>
      <c r="R21" s="24"/>
    </row>
    <row r="22" spans="2:18" ht="6.6" customHeight="1" thickBot="1">
      <c r="B22" s="14"/>
      <c r="C22" s="349"/>
      <c r="D22" s="349"/>
      <c r="E22" s="349"/>
      <c r="F22" s="349"/>
      <c r="G22" s="349"/>
      <c r="H22" s="349"/>
      <c r="I22" s="349"/>
      <c r="J22" s="349"/>
      <c r="K22" s="349"/>
      <c r="L22" s="221"/>
      <c r="M22" s="223"/>
      <c r="N22" s="223"/>
      <c r="O22" s="24"/>
      <c r="P22" s="1227"/>
      <c r="Q22" s="1228"/>
      <c r="R22" s="1228"/>
    </row>
    <row r="23" spans="2:18" ht="21.75" thickBot="1">
      <c r="B23" s="1233" t="s">
        <v>181</v>
      </c>
      <c r="C23" s="1111"/>
      <c r="D23" s="1111"/>
      <c r="E23" s="1111"/>
      <c r="F23" s="1111"/>
      <c r="G23" s="1111"/>
      <c r="H23" s="1111"/>
      <c r="I23" s="1111"/>
      <c r="J23" s="1138"/>
      <c r="K23" s="1234">
        <f>IF(OR(SUM(L10:L13)&gt;0,H9=1),28,D21*D7/7+F21*F7/7+H21*H7/7+J21*J7/7+L21*L7/7)</f>
        <v>0</v>
      </c>
      <c r="L23" s="1138"/>
      <c r="M23" s="305"/>
      <c r="N23" s="305"/>
      <c r="O23" s="24"/>
      <c r="P23" s="1229"/>
      <c r="Q23" s="1045"/>
      <c r="R23" s="1045"/>
    </row>
    <row r="24" spans="2:18" ht="8.1" customHeight="1" thickBot="1">
      <c r="B24" s="14"/>
      <c r="C24" s="351"/>
      <c r="D24" s="352"/>
      <c r="E24" s="351"/>
      <c r="F24" s="351"/>
      <c r="G24" s="351"/>
      <c r="H24" s="352"/>
      <c r="I24" s="353"/>
      <c r="J24" s="353"/>
      <c r="K24" s="222"/>
      <c r="L24" s="350"/>
      <c r="M24" s="305"/>
      <c r="N24" s="305"/>
      <c r="O24" s="24"/>
      <c r="P24" s="1229"/>
      <c r="Q24" s="1045"/>
      <c r="R24" s="1045"/>
    </row>
    <row r="25" spans="2:18" ht="21">
      <c r="B25" s="1230" t="s">
        <v>182</v>
      </c>
      <c r="C25" s="1090"/>
      <c r="D25" s="1090"/>
      <c r="E25" s="1090"/>
      <c r="F25" s="1090"/>
      <c r="G25" s="1090"/>
      <c r="H25" s="1090"/>
      <c r="I25" s="1090"/>
      <c r="J25" s="1231"/>
      <c r="K25" s="1232">
        <f>K23</f>
        <v>0</v>
      </c>
      <c r="L25" s="1091"/>
      <c r="M25" s="305"/>
      <c r="N25" s="24"/>
      <c r="O25" s="361"/>
      <c r="P25" s="361"/>
      <c r="Q25" s="361"/>
      <c r="R25" s="354"/>
    </row>
    <row r="26" spans="2:18" ht="21.75" customHeight="1" thickBot="1">
      <c r="B26" s="355"/>
      <c r="C26" s="356"/>
      <c r="D26" s="356"/>
      <c r="E26" s="356"/>
      <c r="F26" s="356"/>
      <c r="G26" s="356"/>
      <c r="H26" s="357"/>
      <c r="I26" s="358"/>
      <c r="J26" s="358"/>
      <c r="K26" s="359"/>
      <c r="L26" s="360"/>
      <c r="M26" s="305"/>
      <c r="N26" s="24"/>
      <c r="O26" s="361"/>
      <c r="P26" s="361"/>
      <c r="Q26" s="361"/>
      <c r="R26" s="354"/>
    </row>
    <row r="27" spans="2:18" ht="21.75" customHeight="1">
      <c r="B27" s="1220" t="str">
        <f>IF(D14+F14+H14+J14+L14&gt;1,"WARNING! Too many options selected in Row 6"," ")</f>
        <v xml:space="preserve"> </v>
      </c>
      <c r="C27" s="1018"/>
      <c r="D27" s="1018"/>
      <c r="E27" s="1018"/>
      <c r="F27" s="1018"/>
      <c r="G27" s="1018"/>
      <c r="H27" s="1018"/>
      <c r="I27" s="1018"/>
      <c r="J27" s="1018"/>
      <c r="K27" s="1018"/>
      <c r="L27" s="1023"/>
      <c r="M27" s="305"/>
      <c r="N27" s="24"/>
      <c r="O27" s="361"/>
      <c r="P27" s="361"/>
      <c r="Q27" s="361"/>
      <c r="R27" s="354"/>
    </row>
    <row r="28" spans="2:18" ht="21.75" customHeight="1">
      <c r="B28" s="1220" t="str">
        <f>IF(D15+F15+H15+J15+L15&gt;1,"WARNING! Too many options selected in Row 7"," ")</f>
        <v xml:space="preserve"> </v>
      </c>
      <c r="C28" s="1018"/>
      <c r="D28" s="1018"/>
      <c r="E28" s="1018"/>
      <c r="F28" s="1018"/>
      <c r="G28" s="1018"/>
      <c r="H28" s="1018"/>
      <c r="I28" s="1018"/>
      <c r="J28" s="1018"/>
      <c r="K28" s="1018"/>
      <c r="L28" s="1023"/>
      <c r="M28" s="215"/>
      <c r="N28" s="1"/>
      <c r="O28" s="361"/>
      <c r="P28" s="361"/>
      <c r="Q28" s="361"/>
      <c r="R28" s="354"/>
    </row>
    <row r="29" spans="2:18" ht="21.75" customHeight="1">
      <c r="B29" s="1220" t="str">
        <f>IF(D16+F16+H16+J16+L16&gt;1,"WARNING! Too many options selected in Row 8"," ")</f>
        <v xml:space="preserve"> </v>
      </c>
      <c r="C29" s="1018"/>
      <c r="D29" s="1018"/>
      <c r="E29" s="1018"/>
      <c r="F29" s="1018"/>
      <c r="G29" s="1018"/>
      <c r="H29" s="1018"/>
      <c r="I29" s="1018"/>
      <c r="J29" s="1018"/>
      <c r="K29" s="1018"/>
      <c r="L29" s="1023"/>
      <c r="M29" s="215"/>
      <c r="N29" s="1"/>
      <c r="O29" s="361"/>
      <c r="P29" s="361"/>
      <c r="Q29" s="361"/>
      <c r="R29" s="354"/>
    </row>
    <row r="30" spans="2:18" ht="21.75" customHeight="1">
      <c r="B30" s="1220" t="str">
        <f>IF(D17+F17+H17+J17+L17&gt;1,"WARNING! Too many options selected in Row 9"," ")</f>
        <v xml:space="preserve"> </v>
      </c>
      <c r="C30" s="1018"/>
      <c r="D30" s="1018"/>
      <c r="E30" s="1018"/>
      <c r="F30" s="1018"/>
      <c r="G30" s="1018"/>
      <c r="H30" s="1018"/>
      <c r="I30" s="1018"/>
      <c r="J30" s="1018"/>
      <c r="K30" s="1018"/>
      <c r="L30" s="1023"/>
      <c r="M30" s="215"/>
      <c r="N30" s="1"/>
      <c r="O30" s="361"/>
      <c r="P30" s="361"/>
      <c r="Q30" s="361"/>
      <c r="R30" s="354"/>
    </row>
    <row r="31" spans="2:18" ht="21.75" customHeight="1">
      <c r="B31" s="1220" t="str">
        <f>IF(D18+F18+H18+J18+L18&gt;1,"WARNING! Too many options selected in Row 10"," ")</f>
        <v xml:space="preserve"> </v>
      </c>
      <c r="C31" s="1018"/>
      <c r="D31" s="1018"/>
      <c r="E31" s="1018"/>
      <c r="F31" s="1018"/>
      <c r="G31" s="1018"/>
      <c r="H31" s="1018"/>
      <c r="I31" s="1018"/>
      <c r="J31" s="1018"/>
      <c r="K31" s="1018"/>
      <c r="L31" s="1023"/>
      <c r="M31" s="215"/>
      <c r="N31" s="1"/>
      <c r="O31" s="361"/>
      <c r="P31" s="361"/>
      <c r="Q31" s="361"/>
      <c r="R31" s="354"/>
    </row>
    <row r="32" spans="2:18" ht="15" customHeight="1" thickBot="1">
      <c r="B32" s="1224" t="str">
        <f>IF(D19+F19+H19+J19+L19&gt;1,"WARNING! Too many options selected in Row 11"," ")</f>
        <v xml:space="preserve"> </v>
      </c>
      <c r="C32" s="1021"/>
      <c r="D32" s="1021"/>
      <c r="E32" s="1021"/>
      <c r="F32" s="1021"/>
      <c r="G32" s="1021"/>
      <c r="H32" s="1021"/>
      <c r="I32" s="1021"/>
      <c r="J32" s="1021"/>
      <c r="K32" s="1021"/>
      <c r="L32" s="1225"/>
      <c r="M32" s="215"/>
      <c r="N32" s="1"/>
      <c r="O32" s="361"/>
      <c r="P32" s="361"/>
      <c r="Q32" s="361"/>
      <c r="R32" s="354"/>
    </row>
    <row r="34" spans="2:19" ht="31.5" customHeight="1" thickBot="1">
      <c r="B34" s="14"/>
      <c r="C34" s="1226"/>
      <c r="D34" s="1018"/>
      <c r="E34" s="1018"/>
      <c r="F34" s="1018"/>
      <c r="G34" s="1018"/>
      <c r="H34" s="1018"/>
      <c r="I34" s="1018"/>
      <c r="J34" s="1018"/>
      <c r="K34" s="1018"/>
      <c r="L34" s="1018"/>
      <c r="M34" s="324"/>
      <c r="N34" s="1"/>
      <c r="O34" s="1236" t="s">
        <v>582</v>
      </c>
      <c r="P34" s="1237"/>
      <c r="Q34" s="1237"/>
      <c r="R34" s="1237"/>
      <c r="S34" s="1237"/>
    </row>
    <row r="35" spans="2:19" ht="31.5" customHeight="1" thickBot="1">
      <c r="B35" s="362"/>
      <c r="C35" s="1267" t="s">
        <v>183</v>
      </c>
      <c r="D35" s="1090"/>
      <c r="E35" s="1090"/>
      <c r="F35" s="1090"/>
      <c r="G35" s="1090"/>
      <c r="H35" s="1090"/>
      <c r="I35" s="1090"/>
      <c r="J35" s="1090"/>
      <c r="K35" s="1090"/>
      <c r="L35" s="1091"/>
      <c r="M35" s="324"/>
      <c r="N35" s="1"/>
      <c r="O35" s="1263"/>
      <c r="P35" s="1035"/>
      <c r="Q35" s="1035"/>
      <c r="R35" s="1035"/>
      <c r="S35" s="1264"/>
    </row>
    <row r="36" spans="2:19" ht="31.5" customHeight="1">
      <c r="B36" s="1261" t="s">
        <v>121</v>
      </c>
      <c r="C36" s="1221">
        <v>1</v>
      </c>
      <c r="D36" s="1047"/>
      <c r="E36" s="1047"/>
      <c r="F36" s="1222"/>
      <c r="G36" s="363">
        <v>2</v>
      </c>
      <c r="H36" s="363">
        <v>3</v>
      </c>
      <c r="I36" s="363">
        <v>4</v>
      </c>
      <c r="J36" s="363">
        <v>5</v>
      </c>
      <c r="K36" s="363">
        <v>6</v>
      </c>
      <c r="L36" s="364">
        <v>7</v>
      </c>
      <c r="M36" s="324"/>
      <c r="N36" s="1"/>
      <c r="O36" s="1242"/>
      <c r="P36" s="1045"/>
      <c r="Q36" s="1045"/>
      <c r="R36" s="1045"/>
      <c r="S36" s="1076"/>
    </row>
    <row r="37" spans="2:19" ht="36" customHeight="1">
      <c r="B37" s="1262"/>
      <c r="C37" s="1223"/>
      <c r="D37" s="1050"/>
      <c r="E37" s="1050"/>
      <c r="F37" s="1051"/>
      <c r="G37" s="176" t="s">
        <v>184</v>
      </c>
      <c r="H37" s="175">
        <f>TC!C41</f>
        <v>4</v>
      </c>
      <c r="I37" s="176" t="s">
        <v>185</v>
      </c>
      <c r="J37" s="175">
        <f>TC!C42</f>
        <v>13</v>
      </c>
      <c r="K37" s="176" t="s">
        <v>186</v>
      </c>
      <c r="L37" s="177">
        <f>TC!C43</f>
        <v>28</v>
      </c>
      <c r="M37" s="365"/>
      <c r="N37" s="1"/>
      <c r="O37" s="1242"/>
      <c r="P37" s="1045"/>
      <c r="Q37" s="1045"/>
      <c r="R37" s="1045"/>
      <c r="S37" s="1076"/>
    </row>
    <row r="38" spans="2:19" ht="30" customHeight="1">
      <c r="B38" s="309" t="s">
        <v>126</v>
      </c>
      <c r="C38" s="1054"/>
      <c r="D38" s="1055"/>
      <c r="E38" s="1055"/>
      <c r="F38" s="1056"/>
      <c r="G38" s="1135" t="s">
        <v>127</v>
      </c>
      <c r="H38" s="1082"/>
      <c r="I38" s="1135" t="s">
        <v>128</v>
      </c>
      <c r="J38" s="1081"/>
      <c r="K38" s="1081"/>
      <c r="L38" s="1098"/>
      <c r="M38" s="221"/>
      <c r="N38" s="1"/>
      <c r="O38" s="1242"/>
      <c r="P38" s="1045"/>
      <c r="Q38" s="1045"/>
      <c r="R38" s="1045"/>
      <c r="S38" s="1076"/>
    </row>
    <row r="39" spans="2:19" ht="34.35" customHeight="1">
      <c r="B39" s="366">
        <v>1</v>
      </c>
      <c r="C39" s="1249" t="s">
        <v>187</v>
      </c>
      <c r="D39" s="1081"/>
      <c r="E39" s="1081"/>
      <c r="F39" s="1081"/>
      <c r="G39" s="1081"/>
      <c r="H39" s="321">
        <v>1</v>
      </c>
      <c r="I39" s="1250"/>
      <c r="J39" s="1081"/>
      <c r="K39" s="1081"/>
      <c r="L39" s="1098"/>
      <c r="M39" s="221"/>
      <c r="N39" s="1"/>
      <c r="O39" s="1242"/>
      <c r="P39" s="1045"/>
      <c r="Q39" s="1045"/>
      <c r="R39" s="1045"/>
      <c r="S39" s="1076"/>
    </row>
    <row r="40" spans="2:19" ht="25.5">
      <c r="B40" s="366">
        <v>2</v>
      </c>
      <c r="C40" s="1265" t="s">
        <v>188</v>
      </c>
      <c r="D40" s="1050"/>
      <c r="E40" s="1050"/>
      <c r="F40" s="1050"/>
      <c r="G40" s="1050"/>
      <c r="H40" s="1050"/>
      <c r="I40" s="1050"/>
      <c r="J40" s="1051"/>
      <c r="K40" s="325" t="s">
        <v>189</v>
      </c>
      <c r="L40" s="367"/>
      <c r="M40" s="221"/>
      <c r="N40" s="1"/>
      <c r="O40" s="1242"/>
      <c r="P40" s="1045"/>
      <c r="Q40" s="1045"/>
      <c r="R40" s="1045"/>
      <c r="S40" s="1076"/>
    </row>
    <row r="41" spans="2:19" ht="27.75">
      <c r="B41" s="366">
        <v>3</v>
      </c>
      <c r="C41" s="1052"/>
      <c r="D41" s="1045"/>
      <c r="E41" s="1045"/>
      <c r="F41" s="1045"/>
      <c r="G41" s="1045"/>
      <c r="H41" s="1045"/>
      <c r="I41" s="1045"/>
      <c r="J41" s="1053"/>
      <c r="K41" s="368" t="s">
        <v>190</v>
      </c>
      <c r="L41" s="369"/>
      <c r="M41" s="221"/>
      <c r="N41" s="1"/>
      <c r="O41" s="1242"/>
      <c r="P41" s="1045"/>
      <c r="Q41" s="1045"/>
      <c r="R41" s="1045"/>
      <c r="S41" s="1076"/>
    </row>
    <row r="42" spans="2:19" ht="25.5">
      <c r="B42" s="366">
        <v>4</v>
      </c>
      <c r="C42" s="1052"/>
      <c r="D42" s="1045"/>
      <c r="E42" s="1045"/>
      <c r="F42" s="1045"/>
      <c r="G42" s="1045"/>
      <c r="H42" s="1045"/>
      <c r="I42" s="1045"/>
      <c r="J42" s="1053"/>
      <c r="K42" s="325" t="s">
        <v>191</v>
      </c>
      <c r="L42" s="369"/>
      <c r="M42" s="221"/>
      <c r="N42" s="1"/>
      <c r="O42" s="1242"/>
      <c r="P42" s="1045"/>
      <c r="Q42" s="1045"/>
      <c r="R42" s="1045"/>
      <c r="S42" s="1076"/>
    </row>
    <row r="43" spans="2:19" ht="25.5">
      <c r="B43" s="366">
        <v>5</v>
      </c>
      <c r="C43" s="1052"/>
      <c r="D43" s="1045"/>
      <c r="E43" s="1045"/>
      <c r="F43" s="1045"/>
      <c r="G43" s="1045"/>
      <c r="H43" s="1045"/>
      <c r="I43" s="1045"/>
      <c r="J43" s="1053"/>
      <c r="K43" s="370" t="s">
        <v>192</v>
      </c>
      <c r="L43" s="369"/>
      <c r="M43" s="221"/>
      <c r="N43" s="1"/>
      <c r="O43" s="1242"/>
      <c r="P43" s="1045"/>
      <c r="Q43" s="1045"/>
      <c r="R43" s="1045"/>
      <c r="S43" s="1076"/>
    </row>
    <row r="44" spans="2:19" ht="48.6" customHeight="1">
      <c r="B44" s="366">
        <v>6</v>
      </c>
      <c r="C44" s="1054"/>
      <c r="D44" s="1055"/>
      <c r="E44" s="1055"/>
      <c r="F44" s="1055"/>
      <c r="G44" s="1055"/>
      <c r="H44" s="1055"/>
      <c r="I44" s="1055"/>
      <c r="J44" s="1056"/>
      <c r="K44" s="326" t="s">
        <v>178</v>
      </c>
      <c r="L44" s="369"/>
      <c r="M44" s="221"/>
      <c r="N44" s="1"/>
      <c r="O44" s="1242"/>
      <c r="P44" s="1045"/>
      <c r="Q44" s="1045"/>
      <c r="R44" s="1045"/>
      <c r="S44" s="1076"/>
    </row>
    <row r="45" spans="2:19" ht="19.350000000000001" customHeight="1">
      <c r="B45" s="366">
        <v>7</v>
      </c>
      <c r="C45" s="1266" t="s">
        <v>193</v>
      </c>
      <c r="D45" s="1050"/>
      <c r="E45" s="1050"/>
      <c r="F45" s="1051"/>
      <c r="G45" s="859" t="s">
        <v>652</v>
      </c>
      <c r="H45" s="372"/>
      <c r="I45" s="769" t="s">
        <v>658</v>
      </c>
      <c r="J45" s="372"/>
      <c r="K45" s="328" t="s">
        <v>836</v>
      </c>
      <c r="L45" s="373"/>
      <c r="M45" s="223"/>
      <c r="N45" s="1"/>
      <c r="O45" s="1242"/>
      <c r="P45" s="1045"/>
      <c r="Q45" s="1045"/>
      <c r="R45" s="1045"/>
      <c r="S45" s="1076"/>
    </row>
    <row r="46" spans="2:19" ht="15.75">
      <c r="B46" s="366">
        <v>8</v>
      </c>
      <c r="C46" s="1052"/>
      <c r="D46" s="1045"/>
      <c r="E46" s="1045"/>
      <c r="F46" s="1053"/>
      <c r="G46" s="859" t="s">
        <v>653</v>
      </c>
      <c r="H46" s="374"/>
      <c r="I46" s="769" t="s">
        <v>660</v>
      </c>
      <c r="J46" s="374"/>
      <c r="K46" s="375" t="s">
        <v>837</v>
      </c>
      <c r="L46" s="373"/>
      <c r="M46" s="343"/>
      <c r="N46" s="1"/>
      <c r="O46" s="1242"/>
      <c r="P46" s="1045"/>
      <c r="Q46" s="1045"/>
      <c r="R46" s="1045"/>
      <c r="S46" s="1076"/>
    </row>
    <row r="47" spans="2:19" ht="91.5">
      <c r="B47" s="366">
        <v>9</v>
      </c>
      <c r="C47" s="1052"/>
      <c r="D47" s="1045"/>
      <c r="E47" s="1045"/>
      <c r="F47" s="1053"/>
      <c r="G47" s="859" t="s">
        <v>654</v>
      </c>
      <c r="H47" s="376"/>
      <c r="I47" s="769" t="s">
        <v>659</v>
      </c>
      <c r="J47" s="376"/>
      <c r="K47" s="328" t="s">
        <v>838</v>
      </c>
      <c r="L47" s="369"/>
      <c r="M47" s="120"/>
      <c r="N47" s="1"/>
      <c r="O47" s="1242"/>
      <c r="P47" s="1045"/>
      <c r="Q47" s="1045"/>
      <c r="R47" s="1045"/>
      <c r="S47" s="1076"/>
    </row>
    <row r="48" spans="2:19" ht="25.5">
      <c r="B48" s="366">
        <v>10</v>
      </c>
      <c r="C48" s="1052"/>
      <c r="D48" s="1045"/>
      <c r="E48" s="1045"/>
      <c r="F48" s="1053"/>
      <c r="G48" s="859" t="s">
        <v>655</v>
      </c>
      <c r="H48" s="376"/>
      <c r="I48" s="769" t="s">
        <v>661</v>
      </c>
      <c r="J48" s="376"/>
      <c r="K48" s="328" t="s">
        <v>839</v>
      </c>
      <c r="L48" s="369"/>
      <c r="M48" s="222"/>
      <c r="N48" s="1"/>
      <c r="O48" s="1242"/>
      <c r="P48" s="1045"/>
      <c r="Q48" s="1045"/>
      <c r="R48" s="1045"/>
      <c r="S48" s="1076"/>
    </row>
    <row r="49" spans="2:19" ht="25.5">
      <c r="B49" s="366">
        <v>11</v>
      </c>
      <c r="C49" s="1052"/>
      <c r="D49" s="1045"/>
      <c r="E49" s="1045"/>
      <c r="F49" s="1053"/>
      <c r="G49" s="859" t="s">
        <v>656</v>
      </c>
      <c r="H49" s="376"/>
      <c r="I49" s="769" t="s">
        <v>662</v>
      </c>
      <c r="J49" s="376"/>
      <c r="K49" s="184" t="s">
        <v>840</v>
      </c>
      <c r="L49" s="369"/>
      <c r="M49" s="223"/>
      <c r="N49" s="1"/>
      <c r="O49" s="1242"/>
      <c r="P49" s="1045"/>
      <c r="Q49" s="1045"/>
      <c r="R49" s="1045"/>
      <c r="S49" s="1076"/>
    </row>
    <row r="50" spans="2:19" ht="25.5">
      <c r="B50" s="366">
        <v>12</v>
      </c>
      <c r="C50" s="1052"/>
      <c r="D50" s="1045"/>
      <c r="E50" s="1045"/>
      <c r="F50" s="1053"/>
      <c r="G50" s="371" t="s">
        <v>833</v>
      </c>
      <c r="H50" s="376"/>
      <c r="I50" s="769" t="s">
        <v>194</v>
      </c>
      <c r="J50" s="376"/>
      <c r="K50" s="184" t="s">
        <v>841</v>
      </c>
      <c r="L50" s="369"/>
      <c r="M50" s="223"/>
      <c r="N50" s="1"/>
      <c r="O50" s="1242"/>
      <c r="P50" s="1045"/>
      <c r="Q50" s="1045"/>
      <c r="R50" s="1045"/>
      <c r="S50" s="1076"/>
    </row>
    <row r="51" spans="2:19" ht="46.35" customHeight="1">
      <c r="B51" s="366">
        <v>13</v>
      </c>
      <c r="C51" s="1052"/>
      <c r="D51" s="1045"/>
      <c r="E51" s="1045"/>
      <c r="F51" s="1053"/>
      <c r="G51" s="859" t="s">
        <v>657</v>
      </c>
      <c r="H51" s="376"/>
      <c r="I51" s="769" t="s">
        <v>663</v>
      </c>
      <c r="J51" s="376"/>
      <c r="K51" s="328" t="s">
        <v>842</v>
      </c>
      <c r="L51" s="369"/>
      <c r="M51" s="223"/>
      <c r="N51" s="1"/>
      <c r="O51" s="1242"/>
      <c r="P51" s="1045"/>
      <c r="Q51" s="1045"/>
      <c r="R51" s="1045"/>
      <c r="S51" s="1076"/>
    </row>
    <row r="52" spans="2:19" ht="25.5">
      <c r="B52" s="366">
        <v>14</v>
      </c>
      <c r="C52" s="1052"/>
      <c r="D52" s="1045"/>
      <c r="E52" s="1045"/>
      <c r="F52" s="1053"/>
      <c r="G52" s="371" t="s">
        <v>834</v>
      </c>
      <c r="H52" s="376"/>
      <c r="I52" s="769" t="s">
        <v>664</v>
      </c>
      <c r="J52" s="376"/>
      <c r="K52" s="328" t="s">
        <v>843</v>
      </c>
      <c r="L52" s="369"/>
      <c r="M52" s="223"/>
      <c r="N52" s="1"/>
      <c r="O52" s="1242"/>
      <c r="P52" s="1045"/>
      <c r="Q52" s="1045"/>
      <c r="R52" s="1045"/>
      <c r="S52" s="1076"/>
    </row>
    <row r="53" spans="2:19" ht="15.75" customHeight="1" thickBot="1">
      <c r="B53" s="366">
        <v>15</v>
      </c>
      <c r="C53" s="1054"/>
      <c r="D53" s="1055"/>
      <c r="E53" s="1055"/>
      <c r="F53" s="1056"/>
      <c r="G53" s="371" t="s">
        <v>835</v>
      </c>
      <c r="H53" s="377"/>
      <c r="I53" s="769" t="s">
        <v>665</v>
      </c>
      <c r="J53" s="377"/>
      <c r="K53" s="328" t="s">
        <v>195</v>
      </c>
      <c r="L53" s="378"/>
      <c r="M53" s="223"/>
      <c r="N53" s="1"/>
      <c r="O53" s="1243"/>
      <c r="P53" s="1244"/>
      <c r="Q53" s="1244"/>
      <c r="R53" s="1244"/>
      <c r="S53" s="1245"/>
    </row>
    <row r="54" spans="2:19" ht="15.75" thickBot="1">
      <c r="B54" s="379"/>
      <c r="C54" s="347" t="s">
        <v>129</v>
      </c>
      <c r="D54" s="347">
        <f>SUM(D45:D52)</f>
        <v>0</v>
      </c>
      <c r="E54" s="347" t="s">
        <v>129</v>
      </c>
      <c r="F54" s="347">
        <f>SUM(F45:F52)</f>
        <v>0</v>
      </c>
      <c r="G54" s="347" t="s">
        <v>129</v>
      </c>
      <c r="H54" s="347">
        <f>SUM(H45:H53)</f>
        <v>0</v>
      </c>
      <c r="I54" s="347" t="s">
        <v>129</v>
      </c>
      <c r="J54" s="347">
        <f>SUM(J45:J53)</f>
        <v>0</v>
      </c>
      <c r="K54" s="347" t="s">
        <v>129</v>
      </c>
      <c r="L54" s="348">
        <f>SUM(L45:L53)</f>
        <v>0</v>
      </c>
      <c r="M54" s="223"/>
      <c r="N54" s="1"/>
      <c r="O54" s="1"/>
      <c r="P54" s="1"/>
      <c r="Q54" s="1"/>
      <c r="R54" s="1"/>
      <c r="S54" s="1"/>
    </row>
    <row r="55" spans="2:19" ht="8.1" customHeight="1" thickBot="1">
      <c r="B55" s="14"/>
      <c r="C55" s="24"/>
      <c r="D55" s="32"/>
      <c r="E55" s="24"/>
      <c r="F55" s="224"/>
      <c r="G55" s="224"/>
      <c r="H55" s="224"/>
      <c r="I55" s="24"/>
      <c r="J55" s="224"/>
      <c r="K55" s="24"/>
      <c r="L55" s="223"/>
      <c r="M55" s="223"/>
      <c r="N55" s="1"/>
      <c r="O55" s="1"/>
      <c r="P55" s="1"/>
      <c r="Q55" s="122"/>
      <c r="R55" s="1"/>
      <c r="S55" s="1"/>
    </row>
    <row r="56" spans="2:19" ht="16.5" thickBot="1">
      <c r="B56" s="1137" t="s">
        <v>196</v>
      </c>
      <c r="C56" s="1111"/>
      <c r="D56" s="1111"/>
      <c r="E56" s="1111"/>
      <c r="F56" s="1111"/>
      <c r="G56" s="1111"/>
      <c r="H56" s="1111"/>
      <c r="I56" s="1111"/>
      <c r="J56" s="1138"/>
      <c r="K56" s="1234">
        <f>IF(OR(SUM(L40:L44)&gt;0,H39=1),28,H54*H37/9+J54*J37/9+L54*L37/9)</f>
        <v>28</v>
      </c>
      <c r="L56" s="1138"/>
      <c r="M56" s="223"/>
      <c r="N56" s="1"/>
      <c r="O56" s="1"/>
      <c r="P56" s="1"/>
      <c r="Q56" s="1"/>
      <c r="R56" s="1"/>
      <c r="S56" s="1"/>
    </row>
    <row r="57" spans="2:19" ht="7.35" customHeight="1" thickBot="1">
      <c r="B57" s="14"/>
      <c r="C57" s="33"/>
      <c r="D57" s="125"/>
      <c r="E57" s="33"/>
      <c r="F57" s="207"/>
      <c r="G57" s="207"/>
      <c r="H57" s="207"/>
      <c r="I57" s="24"/>
      <c r="J57" s="224"/>
      <c r="K57" s="24"/>
      <c r="L57" s="223"/>
      <c r="M57" s="223"/>
      <c r="N57" s="1"/>
      <c r="O57" s="1"/>
      <c r="P57" s="1"/>
      <c r="Q57" s="1"/>
      <c r="R57" s="1"/>
      <c r="S57" s="1"/>
    </row>
    <row r="58" spans="2:19" ht="16.5" thickBot="1">
      <c r="B58" s="1139" t="s">
        <v>197</v>
      </c>
      <c r="C58" s="1111"/>
      <c r="D58" s="1111"/>
      <c r="E58" s="1111"/>
      <c r="F58" s="1111"/>
      <c r="G58" s="1111"/>
      <c r="H58" s="1111"/>
      <c r="I58" s="1111"/>
      <c r="J58" s="1112"/>
      <c r="K58" s="1259">
        <f>K56</f>
        <v>28</v>
      </c>
      <c r="L58" s="1138"/>
      <c r="M58" s="223"/>
      <c r="N58" s="1"/>
      <c r="O58" s="1"/>
      <c r="P58" s="1"/>
      <c r="Q58" s="1"/>
      <c r="R58" s="1"/>
      <c r="S58" s="1"/>
    </row>
    <row r="59" spans="2:19" ht="15.75" customHeight="1" thickBot="1">
      <c r="B59" s="16"/>
      <c r="C59" s="33"/>
      <c r="D59" s="125"/>
      <c r="E59" s="33"/>
      <c r="F59" s="207"/>
      <c r="G59" s="207"/>
      <c r="H59" s="207"/>
      <c r="I59" s="33"/>
      <c r="J59" s="207"/>
      <c r="K59" s="24"/>
      <c r="L59" s="223"/>
      <c r="M59" s="223"/>
      <c r="N59" s="1"/>
      <c r="O59" s="1"/>
      <c r="P59" s="1"/>
      <c r="Q59" s="1"/>
      <c r="R59" s="1"/>
      <c r="S59" s="1"/>
    </row>
    <row r="60" spans="2:19" ht="15.75" customHeight="1">
      <c r="B60" s="1260" t="str">
        <f>IF(H45+J45+L45&gt;1,"WARNING! Too many options selected in Row 7"," ")</f>
        <v xml:space="preserve"> </v>
      </c>
      <c r="C60" s="1090"/>
      <c r="D60" s="1090"/>
      <c r="E60" s="1090"/>
      <c r="F60" s="1090"/>
      <c r="G60" s="1090"/>
      <c r="H60" s="1090"/>
      <c r="I60" s="1090"/>
      <c r="J60" s="1090"/>
      <c r="K60" s="1090"/>
      <c r="L60" s="1091"/>
      <c r="M60" s="223"/>
      <c r="N60" s="1"/>
      <c r="O60" s="1"/>
      <c r="P60" s="1"/>
      <c r="Q60" s="1"/>
      <c r="R60" s="1"/>
      <c r="S60" s="1"/>
    </row>
    <row r="61" spans="2:19" ht="15.75" customHeight="1">
      <c r="B61" s="1220" t="str">
        <f>IF(H46+J46+L46&gt;1,"WARNING! Too many options selected in Row 8"," ")</f>
        <v xml:space="preserve"> </v>
      </c>
      <c r="C61" s="1018"/>
      <c r="D61" s="1018"/>
      <c r="E61" s="1018"/>
      <c r="F61" s="1018"/>
      <c r="G61" s="1018"/>
      <c r="H61" s="1018"/>
      <c r="I61" s="1018"/>
      <c r="J61" s="1018"/>
      <c r="K61" s="1018"/>
      <c r="L61" s="1023"/>
      <c r="M61" s="223"/>
      <c r="N61" s="1"/>
      <c r="O61" s="1"/>
      <c r="P61" s="1"/>
      <c r="Q61" s="1"/>
      <c r="R61" s="1"/>
      <c r="S61" s="1"/>
    </row>
    <row r="62" spans="2:19" ht="15.75" customHeight="1">
      <c r="B62" s="1220" t="str">
        <f>IF(H47+J47+L47&gt;1,"WARNING! Too many options selected in Row 9"," ")</f>
        <v xml:space="preserve"> </v>
      </c>
      <c r="C62" s="1018"/>
      <c r="D62" s="1018"/>
      <c r="E62" s="1018"/>
      <c r="F62" s="1018"/>
      <c r="G62" s="1018"/>
      <c r="H62" s="1018"/>
      <c r="I62" s="1018"/>
      <c r="J62" s="1018"/>
      <c r="K62" s="1018"/>
      <c r="L62" s="1023"/>
      <c r="M62" s="223"/>
      <c r="N62" s="1"/>
      <c r="O62" s="1"/>
      <c r="P62" s="1"/>
      <c r="Q62" s="1"/>
      <c r="R62" s="1"/>
      <c r="S62" s="1"/>
    </row>
    <row r="63" spans="2:19" ht="15.75" customHeight="1">
      <c r="B63" s="1220" t="str">
        <f>IF(H48+J48+L48&gt;1,"WARNING! Too many options selected in Row 10"," ")</f>
        <v xml:space="preserve"> </v>
      </c>
      <c r="C63" s="1018"/>
      <c r="D63" s="1018"/>
      <c r="E63" s="1018"/>
      <c r="F63" s="1018"/>
      <c r="G63" s="1018"/>
      <c r="H63" s="1018"/>
      <c r="I63" s="1018"/>
      <c r="J63" s="1018"/>
      <c r="K63" s="1018"/>
      <c r="L63" s="1023"/>
      <c r="M63" s="223"/>
      <c r="N63" s="1"/>
      <c r="O63" s="1"/>
      <c r="P63" s="1"/>
      <c r="Q63" s="1"/>
      <c r="R63" s="1"/>
      <c r="S63" s="1"/>
    </row>
    <row r="64" spans="2:19" ht="15.75" customHeight="1">
      <c r="B64" s="1220" t="str">
        <f>IF(H49+J49+L49&gt;1,"WARNING! Too many options selected in Row 11"," ")</f>
        <v xml:space="preserve"> </v>
      </c>
      <c r="C64" s="1018"/>
      <c r="D64" s="1018"/>
      <c r="E64" s="1018"/>
      <c r="F64" s="1018"/>
      <c r="G64" s="1018"/>
      <c r="H64" s="1018"/>
      <c r="I64" s="1018"/>
      <c r="J64" s="1018"/>
      <c r="K64" s="1018"/>
      <c r="L64" s="1023"/>
      <c r="M64" s="223"/>
      <c r="N64" s="1"/>
      <c r="O64" s="1"/>
      <c r="P64" s="1"/>
      <c r="Q64" s="1"/>
      <c r="R64" s="1"/>
      <c r="S64" s="1"/>
    </row>
    <row r="65" spans="2:12" ht="15.75" customHeight="1">
      <c r="B65" s="1220" t="str">
        <f>IF(H50+J50+L50&gt;1,"WARNING! Too many options selected in Row 12"," ")</f>
        <v xml:space="preserve"> </v>
      </c>
      <c r="C65" s="1018"/>
      <c r="D65" s="1018"/>
      <c r="E65" s="1018"/>
      <c r="F65" s="1018"/>
      <c r="G65" s="1018"/>
      <c r="H65" s="1018"/>
      <c r="I65" s="1018"/>
      <c r="J65" s="1018"/>
      <c r="K65" s="1018"/>
      <c r="L65" s="1023"/>
    </row>
    <row r="66" spans="2:12" ht="15.75" customHeight="1">
      <c r="B66" s="1220" t="str">
        <f>IF(H51+J51+L51&gt;1,"WARNING! Too many options selected in Row 13"," ")</f>
        <v xml:space="preserve"> </v>
      </c>
      <c r="C66" s="1018"/>
      <c r="D66" s="1018"/>
      <c r="E66" s="1018"/>
      <c r="F66" s="1018"/>
      <c r="G66" s="1018"/>
      <c r="H66" s="1018"/>
      <c r="I66" s="1018"/>
      <c r="J66" s="1018"/>
      <c r="K66" s="1018"/>
      <c r="L66" s="1023"/>
    </row>
    <row r="67" spans="2:12" ht="15.75" customHeight="1" thickBot="1">
      <c r="B67" s="1224" t="str">
        <f>IF(H53+J53+L53&gt;1,"WARNING! Too many options selected in Row 15"," ")</f>
        <v xml:space="preserve"> </v>
      </c>
      <c r="C67" s="1021"/>
      <c r="D67" s="1021"/>
      <c r="E67" s="1021"/>
      <c r="F67" s="1021"/>
      <c r="G67" s="1021"/>
      <c r="H67" s="1021"/>
      <c r="I67" s="1021"/>
      <c r="J67" s="1021"/>
      <c r="K67" s="1021"/>
      <c r="L67" s="1225"/>
    </row>
  </sheetData>
  <mergeCells count="47">
    <mergeCell ref="O34:S34"/>
    <mergeCell ref="B36:B37"/>
    <mergeCell ref="O35:S53"/>
    <mergeCell ref="B63:L63"/>
    <mergeCell ref="B64:L64"/>
    <mergeCell ref="C39:G39"/>
    <mergeCell ref="I39:L39"/>
    <mergeCell ref="C40:J44"/>
    <mergeCell ref="C45:F53"/>
    <mergeCell ref="C35:L35"/>
    <mergeCell ref="B65:L65"/>
    <mergeCell ref="B66:L66"/>
    <mergeCell ref="B67:L67"/>
    <mergeCell ref="B56:J56"/>
    <mergeCell ref="K56:L56"/>
    <mergeCell ref="B58:J58"/>
    <mergeCell ref="K58:L58"/>
    <mergeCell ref="B60:L60"/>
    <mergeCell ref="B61:L61"/>
    <mergeCell ref="B62:L62"/>
    <mergeCell ref="B2:L2"/>
    <mergeCell ref="N2:R2"/>
    <mergeCell ref="C3:L3"/>
    <mergeCell ref="B4:L4"/>
    <mergeCell ref="N4:R20"/>
    <mergeCell ref="C8:D8"/>
    <mergeCell ref="E8:L8"/>
    <mergeCell ref="C9:G9"/>
    <mergeCell ref="I9:L9"/>
    <mergeCell ref="C10:J13"/>
    <mergeCell ref="B5:L5"/>
    <mergeCell ref="P22:R24"/>
    <mergeCell ref="B25:J25"/>
    <mergeCell ref="K25:L25"/>
    <mergeCell ref="B27:L27"/>
    <mergeCell ref="B28:L28"/>
    <mergeCell ref="B23:J23"/>
    <mergeCell ref="K23:L23"/>
    <mergeCell ref="B29:L29"/>
    <mergeCell ref="B30:L30"/>
    <mergeCell ref="C36:F36"/>
    <mergeCell ref="C37:F38"/>
    <mergeCell ref="G38:H38"/>
    <mergeCell ref="I38:L38"/>
    <mergeCell ref="B31:L31"/>
    <mergeCell ref="B32:L32"/>
    <mergeCell ref="C34:L34"/>
  </mergeCells>
  <pageMargins left="0.7" right="0.7" top="0.75" bottom="0.75" header="0" footer="0"/>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7F986"/>
  </sheetPr>
  <dimension ref="B2:L36"/>
  <sheetViews>
    <sheetView topLeftCell="A12" zoomScale="89" zoomScaleNormal="89" workbookViewId="0">
      <selection activeCell="D24" sqref="D24"/>
    </sheetView>
  </sheetViews>
  <sheetFormatPr defaultColWidth="14.42578125" defaultRowHeight="15" customHeight="1"/>
  <cols>
    <col min="1" max="1" width="4.140625" customWidth="1"/>
    <col min="2" max="2" width="53.140625" customWidth="1"/>
    <col min="3" max="3" width="9.42578125" customWidth="1"/>
    <col min="4" max="4" width="9.85546875" customWidth="1"/>
    <col min="5" max="5" width="34" customWidth="1"/>
    <col min="6" max="6" width="20.42578125" customWidth="1"/>
    <col min="7" max="7" width="3.140625" customWidth="1"/>
    <col min="8" max="8" width="42.85546875" customWidth="1"/>
    <col min="9" max="9" width="11.42578125" customWidth="1"/>
    <col min="10" max="10" width="11.140625" customWidth="1"/>
    <col min="11" max="11" width="36.5703125" customWidth="1"/>
    <col min="12" max="12" width="22.85546875" customWidth="1"/>
    <col min="13" max="13" width="3.140625" customWidth="1"/>
    <col min="14" max="31" width="9.140625" customWidth="1"/>
    <col min="32" max="32" width="8.85546875" customWidth="1"/>
  </cols>
  <sheetData>
    <row r="2" spans="2:12" ht="22.5" customHeight="1">
      <c r="B2" s="1296" t="s">
        <v>198</v>
      </c>
      <c r="C2" s="1297"/>
      <c r="D2" s="1297"/>
      <c r="E2" s="1297"/>
      <c r="F2" s="1298"/>
      <c r="G2" s="24"/>
      <c r="H2" s="1296" t="s">
        <v>199</v>
      </c>
      <c r="I2" s="1297"/>
      <c r="J2" s="1297"/>
      <c r="K2" s="1297"/>
      <c r="L2" s="1298"/>
    </row>
    <row r="3" spans="2:12" ht="14.25" customHeight="1">
      <c r="B3" s="383">
        <v>1</v>
      </c>
      <c r="C3" s="90">
        <v>2</v>
      </c>
      <c r="D3" s="90">
        <v>3</v>
      </c>
      <c r="E3" s="384">
        <v>4</v>
      </c>
      <c r="F3" s="1299" t="s">
        <v>32</v>
      </c>
      <c r="G3" s="24"/>
      <c r="H3" s="383">
        <v>1</v>
      </c>
      <c r="I3" s="90">
        <v>2</v>
      </c>
      <c r="J3" s="90">
        <v>3</v>
      </c>
      <c r="K3" s="384">
        <v>4</v>
      </c>
      <c r="L3" s="1299" t="s">
        <v>32</v>
      </c>
    </row>
    <row r="4" spans="2:12" ht="28.5" customHeight="1">
      <c r="B4" s="385"/>
      <c r="C4" s="386" t="s">
        <v>29</v>
      </c>
      <c r="D4" s="387" t="s">
        <v>30</v>
      </c>
      <c r="E4" s="388" t="s">
        <v>31</v>
      </c>
      <c r="F4" s="1300"/>
      <c r="G4" s="24"/>
      <c r="H4" s="385"/>
      <c r="I4" s="386" t="s">
        <v>29</v>
      </c>
      <c r="J4" s="387" t="s">
        <v>30</v>
      </c>
      <c r="K4" s="388" t="s">
        <v>31</v>
      </c>
      <c r="L4" s="1300"/>
    </row>
    <row r="5" spans="2:12">
      <c r="B5" s="1268" t="s">
        <v>200</v>
      </c>
      <c r="C5" s="1081"/>
      <c r="D5" s="1081"/>
      <c r="E5" s="1098"/>
      <c r="F5" s="1282" t="s">
        <v>201</v>
      </c>
      <c r="G5" s="24"/>
      <c r="H5" s="1268" t="s">
        <v>202</v>
      </c>
      <c r="I5" s="1081"/>
      <c r="J5" s="1081"/>
      <c r="K5" s="1098"/>
      <c r="L5" s="1292" t="s">
        <v>203</v>
      </c>
    </row>
    <row r="6" spans="2:12">
      <c r="B6" s="84" t="s">
        <v>844</v>
      </c>
      <c r="C6" s="82">
        <v>0</v>
      </c>
      <c r="D6" s="76"/>
      <c r="E6" s="1280"/>
      <c r="F6" s="1283"/>
      <c r="G6" s="120"/>
      <c r="H6" s="104" t="s">
        <v>77</v>
      </c>
      <c r="I6" s="82">
        <v>0</v>
      </c>
      <c r="J6" s="76"/>
      <c r="K6" s="1280"/>
      <c r="L6" s="1064"/>
    </row>
    <row r="7" spans="2:12">
      <c r="B7" s="84" t="s">
        <v>845</v>
      </c>
      <c r="C7" s="82">
        <v>9</v>
      </c>
      <c r="D7" s="72">
        <f>'1 Seismic resistance '!G14</f>
        <v>9</v>
      </c>
      <c r="E7" s="1058"/>
      <c r="F7" s="1284"/>
      <c r="G7" s="120"/>
      <c r="H7" s="389" t="s">
        <v>78</v>
      </c>
      <c r="I7" s="82">
        <v>5</v>
      </c>
      <c r="J7" s="96"/>
      <c r="K7" s="1058"/>
      <c r="L7" s="390"/>
    </row>
    <row r="8" spans="2:12">
      <c r="B8" s="84" t="s">
        <v>846</v>
      </c>
      <c r="C8" s="82">
        <v>18</v>
      </c>
      <c r="D8" s="77"/>
      <c r="E8" s="1059"/>
      <c r="F8" s="391"/>
      <c r="G8" s="24"/>
      <c r="H8" s="104" t="s">
        <v>205</v>
      </c>
      <c r="I8" s="82">
        <v>16</v>
      </c>
      <c r="J8" s="392">
        <f>'7 Spillway'!I25</f>
        <v>18</v>
      </c>
      <c r="K8" s="1058"/>
      <c r="L8" s="393"/>
    </row>
    <row r="9" spans="2:12">
      <c r="B9" s="1285" t="s">
        <v>206</v>
      </c>
      <c r="C9" s="1081"/>
      <c r="D9" s="1081"/>
      <c r="E9" s="1098"/>
      <c r="F9" s="1286" t="s">
        <v>207</v>
      </c>
      <c r="G9" s="24"/>
      <c r="H9" s="104" t="s">
        <v>80</v>
      </c>
      <c r="I9" s="82">
        <v>30</v>
      </c>
      <c r="J9" s="77"/>
      <c r="K9" s="1059"/>
      <c r="L9" s="89"/>
    </row>
    <row r="10" spans="2:12" ht="44.45" customHeight="1" thickBot="1">
      <c r="B10" s="1287" t="s">
        <v>864</v>
      </c>
      <c r="C10" s="1288"/>
      <c r="D10" s="1289"/>
      <c r="E10" s="1280"/>
      <c r="F10" s="1283"/>
      <c r="G10" s="24"/>
      <c r="H10" s="394"/>
      <c r="I10" s="395"/>
      <c r="J10" s="396"/>
      <c r="K10" s="397"/>
      <c r="L10" s="398"/>
    </row>
    <row r="11" spans="2:12" ht="25.5">
      <c r="B11" s="399" t="s">
        <v>847</v>
      </c>
      <c r="C11" s="400"/>
      <c r="D11" s="401">
        <v>80</v>
      </c>
      <c r="E11" s="1058"/>
      <c r="F11" s="1283"/>
      <c r="G11" s="24"/>
      <c r="H11" s="1268" t="s">
        <v>208</v>
      </c>
      <c r="I11" s="1081"/>
      <c r="J11" s="1081"/>
      <c r="K11" s="1098"/>
      <c r="L11" s="1292" t="s">
        <v>209</v>
      </c>
    </row>
    <row r="12" spans="2:12" ht="26.25" thickBot="1">
      <c r="B12" s="402" t="s">
        <v>210</v>
      </c>
      <c r="C12" s="403">
        <v>0</v>
      </c>
      <c r="D12" s="70"/>
      <c r="E12" s="1058"/>
      <c r="F12" s="1284"/>
      <c r="G12" s="24"/>
      <c r="H12" s="389" t="s">
        <v>211</v>
      </c>
      <c r="I12" s="105">
        <v>0</v>
      </c>
      <c r="J12" s="1293">
        <f>'8 Masonry'!I39</f>
        <v>15.05263157894737</v>
      </c>
      <c r="K12" s="1280"/>
      <c r="L12" s="1064"/>
    </row>
    <row r="13" spans="2:12">
      <c r="B13" s="861" t="s">
        <v>674</v>
      </c>
      <c r="C13" s="403">
        <v>20</v>
      </c>
      <c r="D13" s="72"/>
      <c r="E13" s="1058"/>
      <c r="F13" s="404"/>
      <c r="G13" s="24"/>
      <c r="H13" s="389" t="s">
        <v>78</v>
      </c>
      <c r="I13" s="105">
        <v>5</v>
      </c>
      <c r="J13" s="1052"/>
      <c r="K13" s="1058"/>
      <c r="L13" s="393"/>
    </row>
    <row r="14" spans="2:12">
      <c r="B14" s="861" t="s">
        <v>675</v>
      </c>
      <c r="C14" s="403">
        <v>36</v>
      </c>
      <c r="D14" s="72">
        <f>IF(D11&lt;50,C16,IF(D11&lt;70,C14+(C15-C14)*(70-D11)/(70-50),IF(D11&lt;90,C13+(C14-C13)*(90-D11)/(90-70),C12+(C13-C12)*(100-D11)/(100-90))))</f>
        <v>28</v>
      </c>
      <c r="E14" s="1058"/>
      <c r="F14" s="404"/>
      <c r="G14" s="24"/>
      <c r="H14" s="389" t="s">
        <v>79</v>
      </c>
      <c r="I14" s="105">
        <v>17</v>
      </c>
      <c r="J14" s="1052"/>
      <c r="K14" s="1058"/>
      <c r="L14" s="393"/>
    </row>
    <row r="15" spans="2:12">
      <c r="B15" s="861" t="s">
        <v>676</v>
      </c>
      <c r="C15" s="403">
        <v>50</v>
      </c>
      <c r="D15" s="72"/>
      <c r="E15" s="1058"/>
      <c r="F15" s="404"/>
      <c r="G15" s="24"/>
      <c r="H15" s="389" t="s">
        <v>212</v>
      </c>
      <c r="I15" s="105">
        <v>37</v>
      </c>
      <c r="J15" s="1054"/>
      <c r="K15" s="1059"/>
      <c r="L15" s="89"/>
    </row>
    <row r="16" spans="2:12" ht="15.75" thickBot="1">
      <c r="B16" s="861" t="s">
        <v>677</v>
      </c>
      <c r="C16" s="403">
        <v>64</v>
      </c>
      <c r="D16" s="73"/>
      <c r="E16" s="1059"/>
      <c r="F16" s="405"/>
      <c r="G16" s="24"/>
      <c r="H16" s="1268" t="s">
        <v>213</v>
      </c>
      <c r="I16" s="1081"/>
      <c r="J16" s="1081"/>
      <c r="K16" s="1098"/>
      <c r="L16" s="1292" t="s">
        <v>214</v>
      </c>
    </row>
    <row r="17" spans="2:12" ht="27.75" customHeight="1">
      <c r="B17" s="1268" t="s">
        <v>215</v>
      </c>
      <c r="C17" s="1081"/>
      <c r="D17" s="1081"/>
      <c r="E17" s="1098"/>
      <c r="F17" s="1269" t="s">
        <v>216</v>
      </c>
      <c r="G17" s="24"/>
      <c r="H17" s="389" t="s">
        <v>217</v>
      </c>
      <c r="I17" s="105">
        <v>0</v>
      </c>
      <c r="J17" s="1294">
        <f>'9 Embankment'!I32</f>
        <v>65.333333333333329</v>
      </c>
      <c r="K17" s="1280"/>
      <c r="L17" s="1063"/>
    </row>
    <row r="18" spans="2:12" ht="21.75" customHeight="1" thickBot="1">
      <c r="B18" s="84" t="s">
        <v>217</v>
      </c>
      <c r="C18" s="105">
        <v>0</v>
      </c>
      <c r="D18" s="76"/>
      <c r="E18" s="406"/>
      <c r="F18" s="1270"/>
      <c r="G18" s="24"/>
      <c r="H18" s="389" t="s">
        <v>78</v>
      </c>
      <c r="I18" s="105">
        <v>1</v>
      </c>
      <c r="J18" s="1197"/>
      <c r="K18" s="1058"/>
      <c r="L18" s="1064"/>
    </row>
    <row r="19" spans="2:12" ht="21.75" customHeight="1">
      <c r="B19" s="84" t="s">
        <v>78</v>
      </c>
      <c r="C19" s="105">
        <v>10</v>
      </c>
      <c r="D19" s="72">
        <f>'3 Flow disch'!I16</f>
        <v>40</v>
      </c>
      <c r="E19" s="407"/>
      <c r="F19" s="404"/>
      <c r="G19" s="24"/>
      <c r="H19" s="389" t="s">
        <v>205</v>
      </c>
      <c r="I19" s="105">
        <v>16</v>
      </c>
      <c r="J19" s="1197"/>
      <c r="K19" s="1058"/>
      <c r="L19" s="390"/>
    </row>
    <row r="20" spans="2:12" ht="21.75" customHeight="1" thickBot="1">
      <c r="B20" s="84" t="s">
        <v>79</v>
      </c>
      <c r="C20" s="105">
        <v>30</v>
      </c>
      <c r="D20" s="96"/>
      <c r="E20" s="407"/>
      <c r="F20" s="404"/>
      <c r="G20" s="24"/>
      <c r="H20" s="143" t="s">
        <v>218</v>
      </c>
      <c r="I20" s="408">
        <v>70</v>
      </c>
      <c r="J20" s="1295"/>
      <c r="K20" s="1096"/>
      <c r="L20" s="409"/>
    </row>
    <row r="21" spans="2:12" ht="21.75" customHeight="1" thickBot="1">
      <c r="B21" s="84" t="s">
        <v>219</v>
      </c>
      <c r="C21" s="105">
        <v>65</v>
      </c>
      <c r="D21" s="77"/>
      <c r="E21" s="410"/>
      <c r="F21" s="404"/>
      <c r="G21" s="123"/>
      <c r="H21" s="301"/>
      <c r="I21" s="224"/>
      <c r="J21" s="411"/>
      <c r="K21" s="412"/>
      <c r="L21" s="413"/>
    </row>
    <row r="22" spans="2:12" ht="24.75" customHeight="1">
      <c r="B22" s="1268" t="s">
        <v>220</v>
      </c>
      <c r="C22" s="1081"/>
      <c r="D22" s="1081"/>
      <c r="E22" s="1098"/>
      <c r="F22" s="1269" t="s">
        <v>221</v>
      </c>
      <c r="G22" s="24"/>
      <c r="H22" s="1271" t="s">
        <v>721</v>
      </c>
      <c r="I22" s="1272"/>
      <c r="J22" s="1273"/>
      <c r="K22" s="412"/>
      <c r="L22" s="24"/>
    </row>
    <row r="23" spans="2:12" ht="26.25" customHeight="1">
      <c r="B23" s="84" t="s">
        <v>222</v>
      </c>
      <c r="C23" s="105">
        <v>0</v>
      </c>
      <c r="D23" s="70"/>
      <c r="E23" s="1280"/>
      <c r="F23" s="1283"/>
      <c r="G23" s="24"/>
      <c r="H23" s="1274"/>
      <c r="I23" s="1275"/>
      <c r="J23" s="1276"/>
      <c r="K23" s="412"/>
      <c r="L23" s="24"/>
    </row>
    <row r="24" spans="2:12" ht="21.6" customHeight="1" thickBot="1">
      <c r="B24" s="84" t="s">
        <v>223</v>
      </c>
      <c r="C24" s="105">
        <v>5</v>
      </c>
      <c r="D24" s="72">
        <f>'4 Back-up power'!G15</f>
        <v>9</v>
      </c>
      <c r="E24" s="1058"/>
      <c r="F24" s="1270"/>
      <c r="G24" s="24"/>
      <c r="H24" s="1277"/>
      <c r="I24" s="1278"/>
      <c r="J24" s="1279"/>
      <c r="K24" s="412"/>
      <c r="L24" s="24"/>
    </row>
    <row r="25" spans="2:12" ht="21.6" customHeight="1" thickBot="1">
      <c r="B25" s="84" t="s">
        <v>224</v>
      </c>
      <c r="C25" s="105">
        <v>12</v>
      </c>
      <c r="D25" s="73"/>
      <c r="E25" s="1059"/>
      <c r="F25" s="404"/>
      <c r="G25" s="24"/>
      <c r="H25" s="24"/>
      <c r="I25" s="24"/>
      <c r="J25" s="24"/>
      <c r="K25" s="24"/>
      <c r="L25" s="414"/>
    </row>
    <row r="26" spans="2:12" ht="24.75" customHeight="1" thickBot="1">
      <c r="B26" s="1268" t="s">
        <v>225</v>
      </c>
      <c r="C26" s="1081"/>
      <c r="D26" s="1081"/>
      <c r="E26" s="1098"/>
      <c r="F26" s="1269" t="s">
        <v>226</v>
      </c>
      <c r="G26" s="24"/>
      <c r="H26" s="415" t="s">
        <v>227</v>
      </c>
      <c r="I26" s="416">
        <f>D7+D14+D19+D24+D27+D31+J8+J12+J17</f>
        <v>199.88596491228071</v>
      </c>
      <c r="J26" s="417"/>
      <c r="K26" s="24"/>
      <c r="L26" s="24"/>
    </row>
    <row r="27" spans="2:12" ht="29.25" customHeight="1" thickBot="1">
      <c r="B27" s="136" t="s">
        <v>228</v>
      </c>
      <c r="C27" s="82">
        <v>0</v>
      </c>
      <c r="D27" s="418">
        <f>'5 Access'!E15</f>
        <v>4.5</v>
      </c>
      <c r="E27" s="1280"/>
      <c r="F27" s="1270"/>
      <c r="G27" s="24"/>
      <c r="H27" s="419"/>
      <c r="I27" s="420"/>
      <c r="J27" s="381"/>
      <c r="K27" s="24"/>
      <c r="L27" s="24"/>
    </row>
    <row r="28" spans="2:12" ht="21.75" customHeight="1" thickBot="1">
      <c r="B28" s="136" t="s">
        <v>229</v>
      </c>
      <c r="C28" s="82">
        <v>6</v>
      </c>
      <c r="D28" s="421"/>
      <c r="E28" s="1059"/>
      <c r="F28" s="422"/>
      <c r="G28" s="24"/>
      <c r="H28" s="423" t="s">
        <v>82</v>
      </c>
      <c r="I28" s="424">
        <f>C8+C16+C21+C25+C28+C33+I9+I15+I20</f>
        <v>328</v>
      </c>
      <c r="J28" s="425"/>
      <c r="K28" s="24"/>
      <c r="L28" s="24"/>
    </row>
    <row r="29" spans="2:12" ht="24.75" customHeight="1" thickBot="1">
      <c r="B29" s="1268" t="s">
        <v>230</v>
      </c>
      <c r="C29" s="1081"/>
      <c r="D29" s="1081"/>
      <c r="E29" s="1098"/>
      <c r="F29" s="426" t="s">
        <v>231</v>
      </c>
      <c r="G29" s="24"/>
      <c r="H29" s="414"/>
      <c r="I29" s="32"/>
      <c r="J29" s="381"/>
      <c r="K29" s="24"/>
      <c r="L29" s="24"/>
    </row>
    <row r="30" spans="2:12" ht="24.75" customHeight="1" thickBot="1">
      <c r="B30" s="104" t="s">
        <v>77</v>
      </c>
      <c r="C30" s="105">
        <v>0</v>
      </c>
      <c r="D30" s="76"/>
      <c r="E30" s="1280"/>
      <c r="F30" s="427"/>
      <c r="G30" s="24"/>
      <c r="H30" s="428" t="s">
        <v>232</v>
      </c>
      <c r="I30" s="429"/>
      <c r="J30" s="430"/>
      <c r="K30" s="1281" t="s">
        <v>233</v>
      </c>
      <c r="L30" s="1264"/>
    </row>
    <row r="31" spans="2:12" ht="23.25" customHeight="1" thickBot="1">
      <c r="B31" s="104" t="s">
        <v>234</v>
      </c>
      <c r="C31" s="105">
        <v>3</v>
      </c>
      <c r="D31" s="72">
        <f>'6 Concrete'!I37</f>
        <v>11</v>
      </c>
      <c r="E31" s="1058"/>
      <c r="F31" s="390"/>
      <c r="G31" s="24"/>
      <c r="H31" s="1290" t="s">
        <v>235</v>
      </c>
      <c r="I31" s="1247"/>
      <c r="J31" s="431" t="str">
        <f>IF('9 Embankment'!J11+'9 Embankment'!J13+'9 Embankment'!J15&gt;0,"YES","NO")</f>
        <v>YES</v>
      </c>
      <c r="K31" s="1054"/>
      <c r="L31" s="1077"/>
    </row>
    <row r="32" spans="2:12" ht="21.75" customHeight="1">
      <c r="B32" s="104" t="s">
        <v>205</v>
      </c>
      <c r="C32" s="82">
        <v>12</v>
      </c>
      <c r="D32" s="392"/>
      <c r="E32" s="1058"/>
      <c r="F32" s="393"/>
      <c r="G32" s="24"/>
      <c r="H32" s="1291" t="s">
        <v>236</v>
      </c>
      <c r="I32" s="1035"/>
      <c r="J32" s="1035"/>
      <c r="K32" s="432" t="str">
        <f>IF('9 Embankment'!J11=1,'9 Embankment'!I11,"")</f>
        <v xml:space="preserve">4.  Active sinkhole development. </v>
      </c>
      <c r="L32" s="433"/>
    </row>
    <row r="33" spans="2:12" ht="23.25" customHeight="1" thickBot="1">
      <c r="B33" s="104" t="s">
        <v>80</v>
      </c>
      <c r="C33" s="82">
        <v>26</v>
      </c>
      <c r="D33" s="77"/>
      <c r="E33" s="1059"/>
      <c r="F33" s="434"/>
      <c r="G33" s="24"/>
      <c r="H33" s="1242"/>
      <c r="I33" s="1045"/>
      <c r="J33" s="1045"/>
      <c r="K33" s="435" t="str">
        <f>IF('9 Embankment'!J13=1,'9 Embankment'!I13,"")</f>
        <v>5. Boiling downstream of the dam increasing with time.</v>
      </c>
      <c r="L33" s="89"/>
    </row>
    <row r="34" spans="2:12" ht="15" customHeight="1">
      <c r="B34" s="380"/>
      <c r="C34" s="32"/>
      <c r="D34" s="381"/>
      <c r="E34" s="24"/>
      <c r="F34" s="382"/>
      <c r="G34" s="24"/>
      <c r="H34" s="1242"/>
      <c r="I34" s="1045"/>
      <c r="J34" s="1045"/>
      <c r="K34" s="435" t="str">
        <f>IF('9 Embankment'!J7=1,'9 Embankment'!I7,"")</f>
        <v xml:space="preserve">1. Slope instabilities that intersect the crest. </v>
      </c>
      <c r="L34" s="89"/>
    </row>
    <row r="35" spans="2:12" ht="18" customHeight="1">
      <c r="B35" s="380"/>
      <c r="C35" s="32"/>
      <c r="D35" s="381"/>
      <c r="E35" s="24"/>
      <c r="F35" s="382"/>
      <c r="G35" s="24"/>
      <c r="H35" s="1242"/>
      <c r="I35" s="1045"/>
      <c r="J35" s="1045"/>
      <c r="K35" s="435" t="str">
        <f>IF('9 Embankment'!J15=1,'9 Embankment'!I15,"")</f>
        <v>7. Discharge of muddy water.</v>
      </c>
      <c r="L35" s="89"/>
    </row>
    <row r="36" spans="2:12" ht="33" customHeight="1">
      <c r="B36" s="380"/>
      <c r="C36" s="32"/>
      <c r="D36" s="381"/>
      <c r="E36" s="24"/>
      <c r="F36" s="382"/>
      <c r="G36" s="24"/>
      <c r="H36" s="1243"/>
      <c r="I36" s="1244"/>
      <c r="J36" s="1244"/>
      <c r="K36" s="436"/>
      <c r="L36" s="437"/>
    </row>
  </sheetData>
  <mergeCells count="36">
    <mergeCell ref="B2:F2"/>
    <mergeCell ref="H2:L2"/>
    <mergeCell ref="F3:F4"/>
    <mergeCell ref="L3:L4"/>
    <mergeCell ref="B5:E5"/>
    <mergeCell ref="H5:K5"/>
    <mergeCell ref="L5:L6"/>
    <mergeCell ref="H11:K11"/>
    <mergeCell ref="L11:L12"/>
    <mergeCell ref="J12:J15"/>
    <mergeCell ref="K12:K15"/>
    <mergeCell ref="L16:L18"/>
    <mergeCell ref="J17:J20"/>
    <mergeCell ref="K17:K20"/>
    <mergeCell ref="K30:L31"/>
    <mergeCell ref="F5:F7"/>
    <mergeCell ref="E6:E8"/>
    <mergeCell ref="K6:K9"/>
    <mergeCell ref="B9:E9"/>
    <mergeCell ref="F9:F12"/>
    <mergeCell ref="B10:D10"/>
    <mergeCell ref="E10:E16"/>
    <mergeCell ref="F22:F24"/>
    <mergeCell ref="F26:F27"/>
    <mergeCell ref="E27:E28"/>
    <mergeCell ref="B29:E29"/>
    <mergeCell ref="E30:E33"/>
    <mergeCell ref="H31:I31"/>
    <mergeCell ref="H32:J36"/>
    <mergeCell ref="H16:K16"/>
    <mergeCell ref="B26:E26"/>
    <mergeCell ref="B17:E17"/>
    <mergeCell ref="F17:F18"/>
    <mergeCell ref="B22:E22"/>
    <mergeCell ref="H22:J24"/>
    <mergeCell ref="E23:E25"/>
  </mergeCells>
  <dataValidations count="5">
    <dataValidation type="decimal" allowBlank="1" showErrorMessage="1" sqref="D6:D7 D23:D25">
      <formula1>C6</formula1>
      <formula2>C8</formula2>
    </dataValidation>
    <dataValidation type="decimal" allowBlank="1" showErrorMessage="1" sqref="D27:D28">
      <formula1>C27</formula1>
      <formula2>C28</formula2>
    </dataValidation>
    <dataValidation type="decimal" allowBlank="1" showErrorMessage="1" sqref="D11">
      <formula1>0</formula1>
      <formula2>100</formula2>
    </dataValidation>
    <dataValidation type="decimal" allowBlank="1" showErrorMessage="1" sqref="J7 J9:J10 D19:D21">
      <formula1>C7</formula1>
      <formula2>C11</formula2>
    </dataValidation>
    <dataValidation type="decimal" allowBlank="1" showErrorMessage="1" sqref="D8 J12 J17 D18 J21 D30:D33">
      <formula1>C8</formula1>
      <formula2>C11</formula2>
    </dataValidation>
  </dataValidations>
  <pageMargins left="0.7" right="0.7" top="0.75" bottom="0.75" header="0" footer="0"/>
  <pageSetup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7F986"/>
    <pageSetUpPr fitToPage="1"/>
  </sheetPr>
  <dimension ref="B2:N18"/>
  <sheetViews>
    <sheetView topLeftCell="D1" workbookViewId="0">
      <selection activeCell="H8" sqref="H8"/>
    </sheetView>
  </sheetViews>
  <sheetFormatPr defaultColWidth="14.42578125" defaultRowHeight="15" customHeight="1"/>
  <cols>
    <col min="1" max="1" width="2.140625" customWidth="1"/>
    <col min="2" max="2" width="7.85546875" customWidth="1"/>
    <col min="3" max="3" width="42.85546875" customWidth="1"/>
    <col min="4" max="4" width="4" customWidth="1"/>
    <col min="5" max="5" width="43.140625" customWidth="1"/>
    <col min="6" max="6" width="3.85546875" customWidth="1"/>
    <col min="7" max="7" width="40.140625" customWidth="1"/>
    <col min="8" max="8" width="3.85546875" customWidth="1"/>
    <col min="9" max="9" width="2.140625" customWidth="1"/>
    <col min="10" max="10" width="3.140625" customWidth="1"/>
    <col min="11" max="11" width="26.85546875" customWidth="1"/>
    <col min="12" max="12" width="8.85546875" customWidth="1"/>
    <col min="13" max="13" width="7.140625" customWidth="1"/>
    <col min="14" max="14" width="24.85546875" customWidth="1"/>
    <col min="15" max="26" width="9.140625" customWidth="1"/>
  </cols>
  <sheetData>
    <row r="2" spans="2:14" ht="25.5" customHeight="1" thickBot="1">
      <c r="B2" s="1318" t="s">
        <v>237</v>
      </c>
      <c r="C2" s="1047"/>
      <c r="D2" s="1047"/>
      <c r="E2" s="1047"/>
      <c r="F2" s="1047"/>
      <c r="G2" s="1047"/>
      <c r="H2" s="1048"/>
      <c r="I2" s="1"/>
      <c r="J2" s="1188" t="s">
        <v>582</v>
      </c>
      <c r="K2" s="1307"/>
      <c r="L2" s="1307"/>
      <c r="M2" s="1307"/>
      <c r="N2" s="1307"/>
    </row>
    <row r="3" spans="2:14" ht="15.75" customHeight="1">
      <c r="B3" s="1319" t="s">
        <v>121</v>
      </c>
      <c r="C3" s="438">
        <v>1</v>
      </c>
      <c r="D3" s="439">
        <v>2</v>
      </c>
      <c r="E3" s="439">
        <v>3</v>
      </c>
      <c r="F3" s="439">
        <v>4</v>
      </c>
      <c r="G3" s="439">
        <v>5</v>
      </c>
      <c r="H3" s="440">
        <v>6</v>
      </c>
      <c r="I3" s="1"/>
      <c r="J3" s="1308"/>
      <c r="K3" s="1309"/>
      <c r="L3" s="1309"/>
      <c r="M3" s="1309"/>
      <c r="N3" s="1310"/>
    </row>
    <row r="4" spans="2:14" ht="21.75" customHeight="1">
      <c r="B4" s="1063"/>
      <c r="C4" s="174" t="s">
        <v>238</v>
      </c>
      <c r="D4" s="175">
        <f>EC!C6</f>
        <v>0</v>
      </c>
      <c r="E4" s="176" t="s">
        <v>239</v>
      </c>
      <c r="F4" s="175">
        <f>EC!C7</f>
        <v>9</v>
      </c>
      <c r="G4" s="176" t="s">
        <v>240</v>
      </c>
      <c r="H4" s="177">
        <f>EC!C8</f>
        <v>18</v>
      </c>
      <c r="I4" s="1"/>
      <c r="J4" s="1311"/>
      <c r="K4" s="1312"/>
      <c r="L4" s="1312"/>
      <c r="M4" s="1312"/>
      <c r="N4" s="1313"/>
    </row>
    <row r="5" spans="2:14" ht="32.25" customHeight="1">
      <c r="B5" s="1300"/>
      <c r="C5" s="1320" t="s">
        <v>241</v>
      </c>
      <c r="D5" s="1082"/>
      <c r="E5" s="1306" t="s">
        <v>204</v>
      </c>
      <c r="F5" s="1082"/>
      <c r="G5" s="1306" t="s">
        <v>242</v>
      </c>
      <c r="H5" s="1098"/>
      <c r="I5" s="226"/>
      <c r="J5" s="1311"/>
      <c r="K5" s="1312"/>
      <c r="L5" s="1312"/>
      <c r="M5" s="1312"/>
      <c r="N5" s="1313"/>
    </row>
    <row r="6" spans="2:14" ht="21" customHeight="1" thickBot="1">
      <c r="B6" s="441" t="s">
        <v>126</v>
      </c>
      <c r="C6" s="1156" t="s">
        <v>127</v>
      </c>
      <c r="D6" s="1082"/>
      <c r="E6" s="1135" t="s">
        <v>243</v>
      </c>
      <c r="F6" s="1081"/>
      <c r="G6" s="1081"/>
      <c r="H6" s="1098"/>
      <c r="I6" s="121"/>
      <c r="J6" s="1311"/>
      <c r="K6" s="1312"/>
      <c r="L6" s="1312"/>
      <c r="M6" s="1312"/>
      <c r="N6" s="1313"/>
    </row>
    <row r="7" spans="2:14" ht="33" customHeight="1" thickBot="1">
      <c r="B7" s="442">
        <v>1</v>
      </c>
      <c r="C7" s="820" t="s">
        <v>585</v>
      </c>
      <c r="D7" s="443">
        <v>1</v>
      </c>
      <c r="E7" s="769" t="s">
        <v>584</v>
      </c>
      <c r="F7" s="188"/>
      <c r="G7" s="769" t="s">
        <v>586</v>
      </c>
      <c r="H7" s="444"/>
      <c r="I7" s="24"/>
      <c r="J7" s="1311"/>
      <c r="K7" s="1312"/>
      <c r="L7" s="1312"/>
      <c r="M7" s="1312"/>
      <c r="N7" s="1313"/>
    </row>
    <row r="8" spans="2:14" ht="86.1" customHeight="1" thickBot="1">
      <c r="B8" s="442">
        <v>2</v>
      </c>
      <c r="C8" s="219" t="s">
        <v>895</v>
      </c>
      <c r="D8" s="443"/>
      <c r="E8" s="219" t="s">
        <v>896</v>
      </c>
      <c r="F8" s="278"/>
      <c r="G8" s="219" t="s">
        <v>897</v>
      </c>
      <c r="H8" s="444">
        <v>1</v>
      </c>
      <c r="I8" s="24"/>
      <c r="J8" s="1311"/>
      <c r="K8" s="1312"/>
      <c r="L8" s="1312"/>
      <c r="M8" s="1312"/>
      <c r="N8" s="1313"/>
    </row>
    <row r="9" spans="2:14" ht="25.5">
      <c r="B9" s="445">
        <v>3</v>
      </c>
      <c r="C9" s="446" t="s">
        <v>244</v>
      </c>
      <c r="D9" s="447"/>
      <c r="E9" s="446" t="s">
        <v>245</v>
      </c>
      <c r="F9" s="448">
        <v>1</v>
      </c>
      <c r="G9" s="446" t="s">
        <v>246</v>
      </c>
      <c r="H9" s="449"/>
      <c r="I9" s="24"/>
      <c r="J9" s="1311"/>
      <c r="K9" s="1312"/>
      <c r="L9" s="1312"/>
      <c r="M9" s="1312"/>
      <c r="N9" s="1313"/>
    </row>
    <row r="10" spans="2:14" ht="15.75" thickBot="1">
      <c r="B10" s="450">
        <v>6</v>
      </c>
      <c r="C10" s="451" t="s">
        <v>129</v>
      </c>
      <c r="D10" s="452">
        <f>SUM(D7:D9)</f>
        <v>1</v>
      </c>
      <c r="E10" s="451" t="s">
        <v>129</v>
      </c>
      <c r="F10" s="452">
        <f>SUM(F7:F9)</f>
        <v>1</v>
      </c>
      <c r="G10" s="451" t="s">
        <v>129</v>
      </c>
      <c r="H10" s="453">
        <f>SUM(H7:H9)</f>
        <v>1</v>
      </c>
      <c r="I10" s="24"/>
      <c r="J10" s="1314"/>
      <c r="K10" s="1315"/>
      <c r="L10" s="1315"/>
      <c r="M10" s="1315"/>
      <c r="N10" s="1316"/>
    </row>
    <row r="11" spans="2:14" ht="8.25" customHeight="1" thickBot="1">
      <c r="B11" s="1"/>
      <c r="C11" s="454"/>
      <c r="D11" s="33"/>
      <c r="E11" s="33"/>
      <c r="F11" s="207"/>
      <c r="G11" s="207"/>
      <c r="H11" s="455"/>
      <c r="I11" s="24"/>
      <c r="J11" s="221"/>
      <c r="K11" s="1"/>
      <c r="L11" s="1"/>
      <c r="M11" s="1"/>
    </row>
    <row r="12" spans="2:14" ht="24.75" customHeight="1">
      <c r="B12" s="1137" t="s">
        <v>119</v>
      </c>
      <c r="C12" s="1111"/>
      <c r="D12" s="1111"/>
      <c r="E12" s="1111"/>
      <c r="F12" s="1138"/>
      <c r="G12" s="1302">
        <f>IF(D10=3,0,F10*F4/3+H10*H4/3)</f>
        <v>9</v>
      </c>
      <c r="H12" s="1138"/>
      <c r="I12" s="58"/>
      <c r="J12" s="223"/>
      <c r="K12" s="1"/>
      <c r="L12" s="1"/>
      <c r="M12" s="1"/>
      <c r="N12" s="59"/>
    </row>
    <row r="13" spans="2:14" ht="6.75" customHeight="1">
      <c r="B13" s="1"/>
      <c r="C13" s="33"/>
      <c r="D13" s="33"/>
      <c r="E13" s="33"/>
      <c r="F13" s="207"/>
      <c r="G13" s="207"/>
      <c r="H13" s="456"/>
      <c r="I13" s="24"/>
      <c r="J13" s="343"/>
      <c r="K13" s="1"/>
      <c r="L13" s="1"/>
      <c r="M13" s="1"/>
    </row>
    <row r="14" spans="2:14" ht="24.75" customHeight="1">
      <c r="B14" s="1139" t="s">
        <v>130</v>
      </c>
      <c r="C14" s="1111"/>
      <c r="D14" s="1111"/>
      <c r="E14" s="1111"/>
      <c r="F14" s="1112"/>
      <c r="G14" s="1259">
        <f>G12</f>
        <v>9</v>
      </c>
      <c r="H14" s="1138"/>
      <c r="I14" s="58"/>
      <c r="J14" s="120"/>
      <c r="K14" s="1"/>
      <c r="L14" s="1"/>
      <c r="M14" s="1"/>
      <c r="N14" s="59"/>
    </row>
    <row r="15" spans="2:14" ht="5.25" customHeight="1">
      <c r="B15" s="1"/>
      <c r="C15" s="1303"/>
      <c r="D15" s="1018"/>
      <c r="E15" s="1018"/>
      <c r="F15" s="1018"/>
      <c r="G15" s="1018"/>
      <c r="H15" s="1018"/>
      <c r="I15" s="24"/>
      <c r="J15" s="120"/>
      <c r="K15" s="24"/>
      <c r="L15" s="24"/>
      <c r="M15" s="24"/>
      <c r="N15" s="1"/>
    </row>
    <row r="16" spans="2:14" ht="21.75" customHeight="1">
      <c r="B16" s="1304" t="str">
        <f>IF(D7+F7+H7&gt;1,"WARNING!  Too many options selected in Row 1"," ")</f>
        <v xml:space="preserve"> </v>
      </c>
      <c r="C16" s="1090"/>
      <c r="D16" s="1090"/>
      <c r="E16" s="1090"/>
      <c r="F16" s="1090"/>
      <c r="G16" s="1090"/>
      <c r="H16" s="1305"/>
      <c r="I16" s="1"/>
      <c r="J16" s="223"/>
      <c r="K16" s="24"/>
      <c r="L16" s="24"/>
      <c r="M16" s="24"/>
    </row>
    <row r="17" spans="2:8" ht="21.75" customHeight="1">
      <c r="B17" s="1317" t="str">
        <f>IF(D8+F8+H8&gt;1,"WARNING!  Too many options selected in Row 2"," ")</f>
        <v xml:space="preserve"> </v>
      </c>
      <c r="C17" s="1018"/>
      <c r="D17" s="1018"/>
      <c r="E17" s="1018"/>
      <c r="F17" s="1018"/>
      <c r="G17" s="1018"/>
      <c r="H17" s="1283"/>
    </row>
    <row r="18" spans="2:8" ht="21.75" customHeight="1">
      <c r="B18" s="1301" t="str">
        <f>IF(D9+F9+H9&gt;1,"WARNING!  Too many options selected in Row 3"," ")</f>
        <v xml:space="preserve"> </v>
      </c>
      <c r="C18" s="1021"/>
      <c r="D18" s="1021"/>
      <c r="E18" s="1021"/>
      <c r="F18" s="1021"/>
      <c r="G18" s="1021"/>
      <c r="H18" s="1270"/>
    </row>
  </sheetData>
  <mergeCells count="18">
    <mergeCell ref="E5:F5"/>
    <mergeCell ref="G5:H5"/>
    <mergeCell ref="J2:N2"/>
    <mergeCell ref="J3:N10"/>
    <mergeCell ref="B17:G17"/>
    <mergeCell ref="C6:D6"/>
    <mergeCell ref="E6:H6"/>
    <mergeCell ref="B2:H2"/>
    <mergeCell ref="B3:B5"/>
    <mergeCell ref="C5:D5"/>
    <mergeCell ref="B18:G18"/>
    <mergeCell ref="B12:F12"/>
    <mergeCell ref="G12:H12"/>
    <mergeCell ref="B14:F14"/>
    <mergeCell ref="G14:H14"/>
    <mergeCell ref="C15:H15"/>
    <mergeCell ref="B16:G16"/>
    <mergeCell ref="H16:H18"/>
  </mergeCells>
  <pageMargins left="0.70866141732283472" right="0.70866141732283472" top="0.74803149606299213" bottom="0.74803149606299213" header="0" footer="0"/>
  <pageSetup paperSize="5"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7F986"/>
    <pageSetUpPr fitToPage="1"/>
  </sheetPr>
  <dimension ref="B2:R22"/>
  <sheetViews>
    <sheetView workbookViewId="0">
      <selection activeCell="B2" sqref="B2:J2"/>
    </sheetView>
  </sheetViews>
  <sheetFormatPr defaultColWidth="14.42578125" defaultRowHeight="15" customHeight="1"/>
  <cols>
    <col min="1" max="1" width="3.42578125" customWidth="1"/>
    <col min="2" max="2" width="7" customWidth="1"/>
    <col min="3" max="3" width="31.85546875" customWidth="1"/>
    <col min="4" max="4" width="3.85546875" customWidth="1"/>
    <col min="5" max="5" width="31.5703125" customWidth="1"/>
    <col min="6" max="6" width="3.85546875" customWidth="1"/>
    <col min="7" max="7" width="30.140625" customWidth="1"/>
    <col min="8" max="8" width="3.85546875" customWidth="1"/>
    <col min="9" max="9" width="33.85546875" customWidth="1"/>
    <col min="10" max="10" width="3.85546875" customWidth="1"/>
    <col min="11" max="11" width="2.140625" customWidth="1"/>
    <col min="12" max="12" width="3.140625" customWidth="1"/>
    <col min="13" max="13" width="2.140625" customWidth="1"/>
    <col min="14" max="17" width="9.140625" customWidth="1"/>
    <col min="18" max="18" width="26.42578125" customWidth="1"/>
    <col min="19" max="26" width="9.140625" customWidth="1"/>
  </cols>
  <sheetData>
    <row r="2" spans="2:18" ht="21.75" customHeight="1" thickBot="1">
      <c r="B2" s="1324" t="s">
        <v>942</v>
      </c>
      <c r="C2" s="1086"/>
      <c r="D2" s="1086"/>
      <c r="E2" s="1086"/>
      <c r="F2" s="1086"/>
      <c r="G2" s="1086"/>
      <c r="H2" s="1086"/>
      <c r="I2" s="1086"/>
      <c r="J2" s="1087"/>
      <c r="L2" s="1325" t="s">
        <v>582</v>
      </c>
      <c r="M2" s="1326"/>
      <c r="N2" s="1326"/>
      <c r="O2" s="1326"/>
      <c r="P2" s="1326"/>
      <c r="Q2" s="1326"/>
      <c r="R2" s="1327"/>
    </row>
    <row r="3" spans="2:18" ht="15" customHeight="1">
      <c r="B3" s="1328" t="s">
        <v>121</v>
      </c>
      <c r="C3" s="458">
        <v>1</v>
      </c>
      <c r="D3" s="459">
        <v>2</v>
      </c>
      <c r="E3" s="459">
        <v>3</v>
      </c>
      <c r="F3" s="459">
        <v>4</v>
      </c>
      <c r="G3" s="459">
        <v>5</v>
      </c>
      <c r="H3" s="459">
        <v>6</v>
      </c>
      <c r="I3" s="459">
        <v>7</v>
      </c>
      <c r="J3" s="460">
        <v>8</v>
      </c>
      <c r="K3" s="147"/>
      <c r="L3" s="259"/>
      <c r="M3" s="260"/>
      <c r="N3" s="461"/>
      <c r="O3" s="260"/>
      <c r="P3" s="260"/>
      <c r="Q3" s="260"/>
      <c r="R3" s="261"/>
    </row>
    <row r="4" spans="2:18" ht="15.75">
      <c r="B4" s="1329"/>
      <c r="C4" s="174" t="s">
        <v>238</v>
      </c>
      <c r="D4" s="175">
        <f>EC!C18</f>
        <v>0</v>
      </c>
      <c r="E4" s="176" t="s">
        <v>247</v>
      </c>
      <c r="F4" s="175">
        <f>EC!C19</f>
        <v>10</v>
      </c>
      <c r="G4" s="176" t="s">
        <v>248</v>
      </c>
      <c r="H4" s="175">
        <f>EC!C20</f>
        <v>30</v>
      </c>
      <c r="I4" s="176" t="s">
        <v>249</v>
      </c>
      <c r="J4" s="177">
        <f>EC!C21</f>
        <v>65</v>
      </c>
      <c r="L4" s="462"/>
      <c r="M4" s="204"/>
      <c r="N4" s="204"/>
      <c r="O4" s="204"/>
      <c r="P4" s="204"/>
      <c r="Q4" s="204"/>
      <c r="R4" s="463"/>
    </row>
    <row r="5" spans="2:18" ht="30" customHeight="1">
      <c r="B5" s="1262"/>
      <c r="C5" s="1330" t="s">
        <v>250</v>
      </c>
      <c r="D5" s="1082"/>
      <c r="E5" s="1331" t="s">
        <v>251</v>
      </c>
      <c r="F5" s="1082"/>
      <c r="G5" s="1332" t="s">
        <v>252</v>
      </c>
      <c r="H5" s="1082"/>
      <c r="I5" s="1331" t="s">
        <v>253</v>
      </c>
      <c r="J5" s="1098"/>
      <c r="L5" s="462"/>
      <c r="M5" s="138"/>
      <c r="N5" s="138"/>
      <c r="O5" s="138"/>
      <c r="P5" s="138"/>
      <c r="Q5" s="138"/>
      <c r="R5" s="465"/>
    </row>
    <row r="6" spans="2:18" ht="26.25" customHeight="1">
      <c r="B6" s="181" t="s">
        <v>126</v>
      </c>
      <c r="C6" s="1156" t="s">
        <v>127</v>
      </c>
      <c r="D6" s="1082"/>
      <c r="E6" s="1135" t="s">
        <v>243</v>
      </c>
      <c r="F6" s="1081"/>
      <c r="G6" s="1081"/>
      <c r="H6" s="1081"/>
      <c r="I6" s="1081"/>
      <c r="J6" s="1098"/>
      <c r="K6" s="147"/>
      <c r="L6" s="462"/>
      <c r="M6" s="265"/>
      <c r="N6" s="265"/>
      <c r="O6" s="265"/>
      <c r="P6" s="265"/>
      <c r="Q6" s="265"/>
      <c r="R6" s="266"/>
    </row>
    <row r="7" spans="2:18" ht="53.25" customHeight="1">
      <c r="B7" s="181">
        <v>1</v>
      </c>
      <c r="C7" s="466" t="s">
        <v>254</v>
      </c>
      <c r="D7" s="329"/>
      <c r="E7" s="467" t="s">
        <v>255</v>
      </c>
      <c r="F7" s="183">
        <v>1</v>
      </c>
      <c r="G7" s="467" t="s">
        <v>256</v>
      </c>
      <c r="H7" s="329"/>
      <c r="I7" s="467" t="s">
        <v>257</v>
      </c>
      <c r="J7" s="468"/>
      <c r="K7" s="33"/>
      <c r="L7" s="462"/>
      <c r="M7" s="138"/>
      <c r="N7" s="138"/>
      <c r="O7" s="138"/>
      <c r="P7" s="204"/>
      <c r="Q7" s="204"/>
      <c r="R7" s="463"/>
    </row>
    <row r="8" spans="2:18" ht="54.75" customHeight="1">
      <c r="B8" s="181">
        <v>2</v>
      </c>
      <c r="C8" s="187" t="s">
        <v>258</v>
      </c>
      <c r="D8" s="443"/>
      <c r="E8" s="341" t="s">
        <v>259</v>
      </c>
      <c r="F8" s="188"/>
      <c r="G8" s="341" t="s">
        <v>260</v>
      </c>
      <c r="H8" s="188">
        <v>1</v>
      </c>
      <c r="I8" s="328" t="s">
        <v>261</v>
      </c>
      <c r="J8" s="189"/>
      <c r="L8" s="462"/>
      <c r="M8" s="138"/>
      <c r="N8" s="138"/>
      <c r="O8" s="138"/>
      <c r="P8" s="204"/>
      <c r="Q8" s="204"/>
      <c r="R8" s="463"/>
    </row>
    <row r="9" spans="2:18" ht="51">
      <c r="B9" s="181">
        <v>3</v>
      </c>
      <c r="C9" s="335" t="s">
        <v>262</v>
      </c>
      <c r="D9" s="188"/>
      <c r="E9" s="328" t="s">
        <v>263</v>
      </c>
      <c r="F9" s="188"/>
      <c r="G9" s="328" t="s">
        <v>264</v>
      </c>
      <c r="H9" s="188">
        <v>1</v>
      </c>
      <c r="I9" s="184" t="s">
        <v>265</v>
      </c>
      <c r="J9" s="189"/>
      <c r="L9" s="469"/>
      <c r="M9" s="382"/>
      <c r="N9" s="382"/>
      <c r="O9" s="382"/>
      <c r="P9" s="382"/>
      <c r="Q9" s="382"/>
      <c r="R9" s="470"/>
    </row>
    <row r="10" spans="2:18" ht="38.25">
      <c r="B10" s="181">
        <v>4</v>
      </c>
      <c r="C10" s="820" t="s">
        <v>678</v>
      </c>
      <c r="D10" s="471"/>
      <c r="E10" s="769" t="s">
        <v>702</v>
      </c>
      <c r="F10" s="471"/>
      <c r="G10" s="769" t="s">
        <v>703</v>
      </c>
      <c r="H10" s="471"/>
      <c r="I10" s="769" t="s">
        <v>704</v>
      </c>
      <c r="J10" s="471">
        <v>1</v>
      </c>
      <c r="L10" s="469"/>
      <c r="M10" s="204"/>
      <c r="N10" s="472"/>
      <c r="O10" s="382"/>
      <c r="P10" s="382"/>
      <c r="Q10" s="382"/>
      <c r="R10" s="470"/>
    </row>
    <row r="11" spans="2:18" ht="39.75" customHeight="1">
      <c r="B11" s="181">
        <v>5</v>
      </c>
      <c r="C11" s="187" t="s">
        <v>266</v>
      </c>
      <c r="D11" s="473"/>
      <c r="E11" s="828" t="s">
        <v>267</v>
      </c>
      <c r="F11" s="473"/>
      <c r="G11" s="341" t="s">
        <v>268</v>
      </c>
      <c r="H11" s="473"/>
      <c r="I11" s="341" t="s">
        <v>269</v>
      </c>
      <c r="J11" s="473">
        <v>1</v>
      </c>
      <c r="L11" s="469"/>
      <c r="M11" s="204"/>
      <c r="N11" s="204"/>
      <c r="O11" s="204"/>
      <c r="P11" s="204"/>
      <c r="Q11" s="204"/>
      <c r="R11" s="463"/>
    </row>
    <row r="12" spans="2:18" ht="14.25" customHeight="1">
      <c r="B12" s="474"/>
      <c r="C12" s="345" t="s">
        <v>129</v>
      </c>
      <c r="D12" s="475">
        <f>SUM(D7:D11)</f>
        <v>0</v>
      </c>
      <c r="E12" s="347"/>
      <c r="F12" s="475">
        <f>SUM(F7:F11)</f>
        <v>1</v>
      </c>
      <c r="G12" s="347" t="s">
        <v>129</v>
      </c>
      <c r="H12" s="475">
        <f>SUM(H7:H11)</f>
        <v>2</v>
      </c>
      <c r="I12" s="347" t="s">
        <v>129</v>
      </c>
      <c r="J12" s="475">
        <f>SUM(J7:J11)</f>
        <v>2</v>
      </c>
      <c r="L12" s="476"/>
      <c r="M12" s="477"/>
      <c r="N12" s="477"/>
      <c r="O12" s="477"/>
      <c r="P12" s="477"/>
      <c r="Q12" s="477"/>
      <c r="R12" s="478"/>
    </row>
    <row r="13" spans="2:18" ht="9" customHeight="1">
      <c r="B13" s="10"/>
      <c r="C13" s="24"/>
      <c r="D13" s="24"/>
      <c r="E13" s="224"/>
      <c r="F13" s="224"/>
      <c r="G13" s="24"/>
      <c r="H13" s="224"/>
      <c r="I13" s="24"/>
      <c r="J13" s="223"/>
      <c r="K13" s="58"/>
      <c r="L13" s="479"/>
      <c r="M13" s="480"/>
      <c r="N13" s="480"/>
      <c r="O13" s="480"/>
      <c r="P13" s="58"/>
      <c r="Q13" s="58"/>
      <c r="R13" s="58"/>
    </row>
    <row r="14" spans="2:18" ht="20.25" customHeight="1">
      <c r="B14" s="1137" t="s">
        <v>270</v>
      </c>
      <c r="C14" s="1111"/>
      <c r="D14" s="1111"/>
      <c r="E14" s="1111"/>
      <c r="F14" s="1111"/>
      <c r="G14" s="1111"/>
      <c r="H14" s="1138"/>
      <c r="I14" s="1234">
        <f>D12*D4/5+F12*F4/5+H12*H4/5+J12*J4/5</f>
        <v>40</v>
      </c>
      <c r="J14" s="1321"/>
      <c r="L14" s="120"/>
      <c r="M14" s="1"/>
      <c r="N14" s="1"/>
      <c r="O14" s="1"/>
      <c r="P14" s="1"/>
      <c r="Q14" s="1"/>
      <c r="R14" s="1"/>
    </row>
    <row r="15" spans="2:18" ht="6" customHeight="1">
      <c r="B15" s="10"/>
      <c r="C15" s="33"/>
      <c r="D15" s="33"/>
      <c r="E15" s="207"/>
      <c r="F15" s="207"/>
      <c r="G15" s="481"/>
      <c r="H15" s="207"/>
      <c r="I15" s="455"/>
      <c r="J15" s="208"/>
      <c r="K15" s="59"/>
      <c r="L15" s="120"/>
      <c r="M15" s="24"/>
      <c r="N15" s="24"/>
      <c r="O15" s="24"/>
      <c r="P15" s="58"/>
      <c r="Q15" s="58"/>
      <c r="R15" s="58"/>
    </row>
    <row r="16" spans="2:18" ht="21.75" customHeight="1">
      <c r="B16" s="1139" t="s">
        <v>271</v>
      </c>
      <c r="C16" s="1111"/>
      <c r="D16" s="1111"/>
      <c r="E16" s="1111"/>
      <c r="F16" s="1111"/>
      <c r="G16" s="1111"/>
      <c r="H16" s="1111"/>
      <c r="I16" s="1322">
        <f>I14</f>
        <v>40</v>
      </c>
      <c r="J16" s="1138"/>
      <c r="K16" s="24"/>
      <c r="L16" s="324"/>
      <c r="M16" s="24"/>
      <c r="N16" s="24"/>
      <c r="O16" s="24"/>
      <c r="P16" s="24"/>
      <c r="Q16" s="1"/>
      <c r="R16" s="1"/>
    </row>
    <row r="18" spans="2:10" ht="15.75">
      <c r="B18" s="1260" t="str">
        <f>IF(D7+F7+H7+J7&gt;1,"WARNING! Too many options selected in Row 1"," ")</f>
        <v xml:space="preserve"> </v>
      </c>
      <c r="C18" s="1090"/>
      <c r="D18" s="1090"/>
      <c r="E18" s="1090"/>
      <c r="F18" s="1090"/>
      <c r="G18" s="1090"/>
      <c r="H18" s="1090"/>
      <c r="I18" s="1090"/>
      <c r="J18" s="1323"/>
    </row>
    <row r="19" spans="2:10" ht="15.75">
      <c r="B19" s="1220" t="str">
        <f>IF(D8+F8+H8+J8&gt;1,"WARNING! Too many options selected in Row 2"," ")</f>
        <v xml:space="preserve"> </v>
      </c>
      <c r="C19" s="1018"/>
      <c r="D19" s="1018"/>
      <c r="E19" s="1018"/>
      <c r="F19" s="1018"/>
      <c r="G19" s="1018"/>
      <c r="H19" s="1018"/>
      <c r="I19" s="1018"/>
      <c r="J19" s="1283"/>
    </row>
    <row r="20" spans="2:10" ht="15.75">
      <c r="B20" s="1220" t="str">
        <f>IF(D9+F9+H9+J9&gt;1,"WARNING! Too many options selected in Row 3"," ")</f>
        <v xml:space="preserve"> </v>
      </c>
      <c r="C20" s="1018"/>
      <c r="D20" s="1018"/>
      <c r="E20" s="1018"/>
      <c r="F20" s="1018"/>
      <c r="G20" s="1018"/>
      <c r="H20" s="1018"/>
      <c r="I20" s="1018"/>
      <c r="J20" s="1283"/>
    </row>
    <row r="21" spans="2:10" ht="15.75" customHeight="1">
      <c r="B21" s="1220" t="str">
        <f>IF(D10+F10+H10+J10&gt;1,"WARNING! Too many options selected in Row 4"," ")</f>
        <v xml:space="preserve"> </v>
      </c>
      <c r="C21" s="1018"/>
      <c r="D21" s="1018"/>
      <c r="E21" s="1018"/>
      <c r="F21" s="1018"/>
      <c r="G21" s="1018"/>
      <c r="H21" s="1018"/>
      <c r="I21" s="1018"/>
      <c r="J21" s="1283"/>
    </row>
    <row r="22" spans="2:10" ht="15.75" customHeight="1">
      <c r="B22" s="1224" t="str">
        <f>IF(D11+F11+H11+J11&gt;1,"WARNING! Too many options selected in Row 5"," ")</f>
        <v xml:space="preserve"> </v>
      </c>
      <c r="C22" s="1021"/>
      <c r="D22" s="1021"/>
      <c r="E22" s="1021"/>
      <c r="F22" s="1021"/>
      <c r="G22" s="1021"/>
      <c r="H22" s="1021"/>
      <c r="I22" s="1021"/>
      <c r="J22" s="1270"/>
    </row>
  </sheetData>
  <mergeCells count="19">
    <mergeCell ref="B2:J2"/>
    <mergeCell ref="L2:R2"/>
    <mergeCell ref="B3:B5"/>
    <mergeCell ref="C5:D5"/>
    <mergeCell ref="E5:F5"/>
    <mergeCell ref="G5:H5"/>
    <mergeCell ref="I5:J5"/>
    <mergeCell ref="B18:I18"/>
    <mergeCell ref="B19:I19"/>
    <mergeCell ref="B20:I20"/>
    <mergeCell ref="B21:I21"/>
    <mergeCell ref="C6:D6"/>
    <mergeCell ref="E6:J6"/>
    <mergeCell ref="B14:H14"/>
    <mergeCell ref="I14:J14"/>
    <mergeCell ref="B16:H16"/>
    <mergeCell ref="I16:J16"/>
    <mergeCell ref="J18:J22"/>
    <mergeCell ref="B22:I22"/>
  </mergeCells>
  <pageMargins left="0.70866141732283472" right="0.70866141732283472" top="0.74803149606299213" bottom="0.74803149606299213" header="0" footer="0"/>
  <pageSetup paperSize="5"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7F986"/>
    <pageSetUpPr fitToPage="1"/>
  </sheetPr>
  <dimension ref="B2:O28"/>
  <sheetViews>
    <sheetView topLeftCell="A8" workbookViewId="0">
      <selection activeCell="G26" sqref="G26"/>
    </sheetView>
  </sheetViews>
  <sheetFormatPr defaultColWidth="14.42578125" defaultRowHeight="15" customHeight="1"/>
  <cols>
    <col min="1" max="1" width="2.140625" customWidth="1"/>
    <col min="2" max="2" width="7.85546875" customWidth="1"/>
    <col min="3" max="3" width="29.85546875" customWidth="1"/>
    <col min="4" max="4" width="3.5703125" customWidth="1"/>
    <col min="5" max="5" width="35" customWidth="1"/>
    <col min="6" max="6" width="3.85546875" customWidth="1"/>
    <col min="7" max="7" width="29.85546875" customWidth="1"/>
    <col min="8" max="8" width="3.140625" customWidth="1"/>
    <col min="9" max="9" width="2.5703125" customWidth="1"/>
    <col min="10" max="14" width="9.140625" customWidth="1"/>
    <col min="15" max="15" width="22.140625" customWidth="1"/>
    <col min="16" max="26" width="9.140625" customWidth="1"/>
  </cols>
  <sheetData>
    <row r="2" spans="2:15" ht="22.5" customHeight="1">
      <c r="B2" s="1348" t="s">
        <v>272</v>
      </c>
      <c r="C2" s="1090"/>
      <c r="D2" s="1090"/>
      <c r="E2" s="1090"/>
      <c r="F2" s="1090"/>
      <c r="G2" s="1090"/>
      <c r="H2" s="1091"/>
      <c r="I2" s="1"/>
      <c r="J2" s="1349" t="s">
        <v>582</v>
      </c>
      <c r="K2" s="1350"/>
      <c r="L2" s="1350"/>
      <c r="M2" s="1350"/>
      <c r="N2" s="1350"/>
      <c r="O2" s="1351"/>
    </row>
    <row r="3" spans="2:15" ht="17.25" customHeight="1">
      <c r="B3" s="181" t="s">
        <v>121</v>
      </c>
      <c r="C3" s="62">
        <v>1</v>
      </c>
      <c r="D3" s="62">
        <v>2</v>
      </c>
      <c r="E3" s="62">
        <v>3</v>
      </c>
      <c r="F3" s="62">
        <v>4</v>
      </c>
      <c r="G3" s="62">
        <v>5</v>
      </c>
      <c r="H3" s="145">
        <v>6</v>
      </c>
      <c r="I3" s="457" t="s">
        <v>101</v>
      </c>
      <c r="J3" s="227"/>
      <c r="K3" s="482"/>
      <c r="L3" s="482"/>
      <c r="M3" s="482"/>
      <c r="N3" s="482"/>
      <c r="O3" s="483"/>
    </row>
    <row r="4" spans="2:15" ht="25.5" customHeight="1">
      <c r="B4" s="484"/>
      <c r="C4" s="485" t="s">
        <v>273</v>
      </c>
      <c r="D4" s="175">
        <f>EC!C23</f>
        <v>0</v>
      </c>
      <c r="E4" s="176" t="s">
        <v>274</v>
      </c>
      <c r="F4" s="175">
        <f>EC!C24</f>
        <v>5</v>
      </c>
      <c r="G4" s="176" t="s">
        <v>275</v>
      </c>
      <c r="H4" s="177">
        <f>EC!C25</f>
        <v>12</v>
      </c>
      <c r="I4" s="10"/>
      <c r="J4" s="486"/>
      <c r="K4" s="204"/>
      <c r="L4" s="204"/>
      <c r="M4" s="204"/>
      <c r="N4" s="204"/>
      <c r="O4" s="463"/>
    </row>
    <row r="5" spans="2:15" ht="30" customHeight="1">
      <c r="B5" s="233"/>
      <c r="C5" s="1352" t="s">
        <v>276</v>
      </c>
      <c r="D5" s="1082"/>
      <c r="E5" s="1332" t="s">
        <v>277</v>
      </c>
      <c r="F5" s="1082"/>
      <c r="G5" s="1332" t="s">
        <v>224</v>
      </c>
      <c r="H5" s="1098"/>
      <c r="I5" s="487"/>
      <c r="J5" s="488"/>
      <c r="K5" s="138"/>
      <c r="L5" s="138"/>
      <c r="M5" s="138"/>
      <c r="N5" s="138"/>
      <c r="O5" s="465"/>
    </row>
    <row r="6" spans="2:15" ht="17.25" customHeight="1">
      <c r="B6" s="181" t="s">
        <v>126</v>
      </c>
      <c r="C6" s="1135" t="s">
        <v>127</v>
      </c>
      <c r="D6" s="1081"/>
      <c r="E6" s="1135" t="s">
        <v>128</v>
      </c>
      <c r="F6" s="1081"/>
      <c r="G6" s="1081"/>
      <c r="H6" s="1098"/>
      <c r="I6" s="1"/>
      <c r="J6" s="488"/>
      <c r="K6" s="138"/>
      <c r="L6" s="138"/>
      <c r="M6" s="138"/>
      <c r="N6" s="138"/>
      <c r="O6" s="465"/>
    </row>
    <row r="7" spans="2:15" ht="17.25" customHeight="1">
      <c r="B7" s="1336" t="s">
        <v>587</v>
      </c>
      <c r="C7" s="1165"/>
      <c r="D7" s="1165"/>
      <c r="E7" s="1165"/>
      <c r="F7" s="1165"/>
      <c r="G7" s="1165"/>
      <c r="H7" s="1166"/>
      <c r="I7" s="811"/>
      <c r="J7" s="821"/>
      <c r="K7" s="822"/>
      <c r="L7" s="822"/>
      <c r="M7" s="822"/>
      <c r="N7" s="822"/>
      <c r="O7" s="823"/>
    </row>
    <row r="8" spans="2:15" ht="77.25" thickBot="1">
      <c r="B8" s="157">
        <v>1</v>
      </c>
      <c r="C8" s="335" t="s">
        <v>947</v>
      </c>
      <c r="D8" s="489"/>
      <c r="E8" s="328" t="s">
        <v>907</v>
      </c>
      <c r="F8" s="183"/>
      <c r="G8" s="341" t="s">
        <v>909</v>
      </c>
      <c r="H8" s="490">
        <v>1</v>
      </c>
      <c r="I8" s="226"/>
      <c r="J8" s="486"/>
      <c r="K8" s="204"/>
      <c r="L8" s="204"/>
      <c r="M8" s="204"/>
      <c r="N8" s="204"/>
      <c r="O8" s="463"/>
    </row>
    <row r="9" spans="2:15" ht="16.5" thickBot="1">
      <c r="B9" s="1337" t="s">
        <v>949</v>
      </c>
      <c r="C9" s="1165"/>
      <c r="D9" s="1165"/>
      <c r="E9" s="1165"/>
      <c r="F9" s="1165"/>
      <c r="G9" s="1165"/>
      <c r="H9" s="1166"/>
      <c r="I9" s="824"/>
      <c r="J9" s="825"/>
      <c r="K9" s="826"/>
      <c r="L9" s="826"/>
      <c r="M9" s="826"/>
      <c r="N9" s="826"/>
      <c r="O9" s="827"/>
    </row>
    <row r="10" spans="2:15" ht="71.099999999999994" customHeight="1">
      <c r="B10" s="157">
        <v>2</v>
      </c>
      <c r="C10" s="328" t="s">
        <v>948</v>
      </c>
      <c r="D10" s="447"/>
      <c r="E10" s="328" t="s">
        <v>908</v>
      </c>
      <c r="F10" s="192">
        <v>1</v>
      </c>
      <c r="G10" s="341" t="s">
        <v>910</v>
      </c>
      <c r="H10" s="491"/>
      <c r="I10" s="24"/>
      <c r="J10" s="486"/>
      <c r="K10" s="204"/>
      <c r="L10" s="204"/>
      <c r="M10" s="204"/>
      <c r="N10" s="204"/>
      <c r="O10" s="463"/>
    </row>
    <row r="11" spans="2:15" ht="13.5" customHeight="1">
      <c r="B11" s="196"/>
      <c r="C11" s="492"/>
      <c r="D11" s="493">
        <f>SUM(D8:D10)</f>
        <v>0</v>
      </c>
      <c r="E11" s="494"/>
      <c r="F11" s="493">
        <f>SUM(F8:F10)</f>
        <v>1</v>
      </c>
      <c r="G11" s="408"/>
      <c r="H11" s="495">
        <f>SUM(H8:H10)</f>
        <v>1</v>
      </c>
      <c r="I11" s="496"/>
      <c r="J11" s="486"/>
      <c r="K11" s="204"/>
      <c r="L11" s="204"/>
      <c r="M11" s="204"/>
      <c r="N11" s="204"/>
      <c r="O11" s="463"/>
    </row>
    <row r="12" spans="2:15" ht="6" customHeight="1" thickBot="1">
      <c r="B12" s="1"/>
      <c r="C12" s="33"/>
      <c r="D12" s="497"/>
      <c r="E12" s="498"/>
      <c r="F12" s="497"/>
      <c r="G12" s="207"/>
      <c r="H12" s="497"/>
      <c r="I12" s="472"/>
      <c r="J12" s="486"/>
      <c r="K12" s="204"/>
      <c r="L12" s="204"/>
      <c r="M12" s="204"/>
      <c r="N12" s="204"/>
      <c r="O12" s="463"/>
    </row>
    <row r="13" spans="2:15" ht="24.75" customHeight="1" thickBot="1">
      <c r="B13" s="1137" t="s">
        <v>119</v>
      </c>
      <c r="C13" s="1111"/>
      <c r="D13" s="1111"/>
      <c r="E13" s="1111"/>
      <c r="F13" s="1138"/>
      <c r="G13" s="1234">
        <f>IF(D8=1,0,IF(AND(D8&lt;1,F8=1,D10=1),1,IF(AND(D8&lt;1,F8=1,F10=1),2.5,IF(AND(D8&lt;1,F8=1,H10=1),5,IF(AND(D8&lt;1,H8=1,D10=1),6,IF(AND(D8&lt;1,H8=1,F10=1),9,IF(AND(D8&lt;1,H8=1,H10=1),12,0)))))))</f>
        <v>9</v>
      </c>
      <c r="H13" s="1338"/>
      <c r="I13" s="1"/>
      <c r="J13" s="499"/>
      <c r="K13" s="500"/>
      <c r="L13" s="500"/>
      <c r="M13" s="500"/>
      <c r="N13" s="500"/>
      <c r="O13" s="501"/>
    </row>
    <row r="14" spans="2:15" ht="6.75" customHeight="1" thickBot="1">
      <c r="B14" s="1"/>
      <c r="D14" s="16"/>
      <c r="F14" s="16"/>
      <c r="H14" s="14"/>
      <c r="I14" s="1"/>
      <c r="J14" s="486"/>
      <c r="K14" s="204"/>
      <c r="L14" s="204"/>
      <c r="M14" s="204"/>
      <c r="N14" s="204"/>
      <c r="O14" s="463"/>
    </row>
    <row r="15" spans="2:15" ht="24.75" customHeight="1" thickBot="1">
      <c r="B15" s="1139" t="s">
        <v>120</v>
      </c>
      <c r="C15" s="1111"/>
      <c r="D15" s="1111"/>
      <c r="E15" s="1111"/>
      <c r="F15" s="1339"/>
      <c r="G15" s="1346">
        <f>G13</f>
        <v>9</v>
      </c>
      <c r="H15" s="1347"/>
      <c r="I15" s="1"/>
      <c r="J15" s="502"/>
      <c r="K15" s="503"/>
      <c r="L15" s="503"/>
      <c r="M15" s="503"/>
      <c r="N15" s="503"/>
      <c r="O15" s="504"/>
    </row>
    <row r="16" spans="2:15" ht="15" customHeight="1" thickBot="1"/>
    <row r="17" spans="2:10" ht="15.75">
      <c r="B17" s="1340" t="str">
        <f>IF(D8+F8+H8&gt;1,"WARNING!  Too many options selected in Row 1"," ")</f>
        <v xml:space="preserve"> </v>
      </c>
      <c r="C17" s="1341"/>
      <c r="D17" s="1341"/>
      <c r="E17" s="1341"/>
      <c r="F17" s="1341"/>
      <c r="G17" s="1341"/>
      <c r="H17" s="1342"/>
      <c r="I17" s="1"/>
    </row>
    <row r="18" spans="2:10" ht="15.75">
      <c r="B18" s="1343" t="str">
        <f>IF(D10+F10+H10&gt;1,"WARNING!  Too many options selected in Row 2"," ")</f>
        <v xml:space="preserve"> </v>
      </c>
      <c r="C18" s="1344"/>
      <c r="D18" s="1344"/>
      <c r="E18" s="1344"/>
      <c r="F18" s="1344"/>
      <c r="G18" s="1344"/>
      <c r="H18" s="1345"/>
      <c r="I18" s="58"/>
      <c r="J18" s="505" t="str">
        <f>IF(D8+F8+H8&gt;1, "warning!  Too many options selected in Row 1"," ")</f>
        <v xml:space="preserve"> </v>
      </c>
    </row>
    <row r="19" spans="2:10" ht="15" customHeight="1" thickBot="1">
      <c r="B19" s="1333"/>
      <c r="C19" s="1334"/>
      <c r="D19" s="1334"/>
      <c r="E19" s="1334"/>
      <c r="F19" s="1334"/>
      <c r="G19" s="1334"/>
      <c r="H19" s="1335"/>
      <c r="I19" s="24"/>
    </row>
    <row r="20" spans="2:10">
      <c r="B20" s="1"/>
      <c r="D20" s="16"/>
      <c r="F20" s="16"/>
      <c r="H20" s="16"/>
      <c r="I20" s="24"/>
    </row>
    <row r="21" spans="2:10">
      <c r="B21" s="1"/>
      <c r="D21" s="16"/>
      <c r="E21">
        <f>IF(D8=1,0,IF(AND(D8&lt;1,F8=1,D10=1),1,IF(AND(D8&lt;1,F8=1,F10=1),2.5,IF(AND(D8&lt;1,F8=1,H10=1),5,IF(AND(D8&lt;1,H8=1,D10=1),6,IF(AND(D8&lt;1,H8=1,F10=1),8,IF(AND(D8&lt;1,H8=1,H10=1),12,0)))))))</f>
        <v>8</v>
      </c>
      <c r="F21" s="16"/>
      <c r="H21" s="16"/>
      <c r="I21" s="24"/>
    </row>
    <row r="22" spans="2:10">
      <c r="B22" s="1"/>
      <c r="D22" s="16"/>
      <c r="F22" s="16"/>
      <c r="H22" s="16"/>
      <c r="I22" s="24"/>
    </row>
    <row r="23" spans="2:10" ht="15.75" customHeight="1">
      <c r="B23" s="1"/>
      <c r="D23" s="16"/>
      <c r="F23" s="16"/>
      <c r="H23" s="16"/>
      <c r="I23" s="24"/>
    </row>
    <row r="24" spans="2:10" ht="15.75" customHeight="1">
      <c r="B24" s="1"/>
      <c r="D24" s="16"/>
      <c r="F24" s="16"/>
      <c r="H24" s="16"/>
      <c r="I24" s="24"/>
    </row>
    <row r="25" spans="2:10" ht="15.75" customHeight="1">
      <c r="B25" s="1"/>
      <c r="D25" s="16"/>
      <c r="F25" s="16"/>
      <c r="G25">
        <f>710/27</f>
        <v>26.296296296296298</v>
      </c>
      <c r="H25" s="16"/>
      <c r="I25" s="1"/>
    </row>
    <row r="26" spans="2:10" ht="15.75" customHeight="1">
      <c r="B26" s="1"/>
      <c r="D26" s="16"/>
      <c r="F26" s="16"/>
      <c r="H26" s="16"/>
      <c r="I26" s="1"/>
    </row>
    <row r="27" spans="2:10" ht="15.75" customHeight="1">
      <c r="B27" s="1"/>
      <c r="D27" s="16"/>
      <c r="F27" s="16"/>
      <c r="H27" s="16"/>
      <c r="I27" s="1"/>
    </row>
    <row r="28" spans="2:10" ht="15.75" customHeight="1">
      <c r="B28" s="1"/>
      <c r="D28" s="16"/>
      <c r="F28" s="16"/>
      <c r="H28" s="16"/>
      <c r="I28" s="1"/>
    </row>
  </sheetData>
  <mergeCells count="16">
    <mergeCell ref="B2:H2"/>
    <mergeCell ref="J2:O2"/>
    <mergeCell ref="C5:D5"/>
    <mergeCell ref="E5:F5"/>
    <mergeCell ref="G5:H5"/>
    <mergeCell ref="B19:H19"/>
    <mergeCell ref="B7:H7"/>
    <mergeCell ref="B9:H9"/>
    <mergeCell ref="C6:D6"/>
    <mergeCell ref="E6:H6"/>
    <mergeCell ref="B13:F13"/>
    <mergeCell ref="G13:H13"/>
    <mergeCell ref="B15:F15"/>
    <mergeCell ref="B17:H17"/>
    <mergeCell ref="B18:H18"/>
    <mergeCell ref="G15:H15"/>
  </mergeCells>
  <pageMargins left="0.70866141732283472" right="0.70866141732283472" top="0.74803149606299213" bottom="0.74803149606299213" header="0" footer="0"/>
  <pageSetup paperSize="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7F986"/>
    <pageSetUpPr fitToPage="1"/>
  </sheetPr>
  <dimension ref="B2:L20"/>
  <sheetViews>
    <sheetView workbookViewId="0">
      <selection activeCell="E9" sqref="E9"/>
    </sheetView>
  </sheetViews>
  <sheetFormatPr defaultColWidth="14.42578125" defaultRowHeight="15" customHeight="1"/>
  <cols>
    <col min="1" max="1" width="1.42578125" customWidth="1"/>
    <col min="2" max="2" width="7.140625" customWidth="1"/>
    <col min="3" max="3" width="40.140625" customWidth="1"/>
    <col min="4" max="4" width="4.140625" customWidth="1"/>
    <col min="5" max="5" width="41.140625" customWidth="1"/>
    <col min="6" max="6" width="4.42578125" customWidth="1"/>
    <col min="7" max="7" width="4.85546875" customWidth="1"/>
    <col min="8" max="9" width="9.140625" customWidth="1"/>
    <col min="10" max="10" width="13.140625" customWidth="1"/>
    <col min="11" max="11" width="9.140625" customWidth="1"/>
    <col min="12" max="12" width="29.85546875" customWidth="1"/>
    <col min="13" max="26" width="9.140625" customWidth="1"/>
  </cols>
  <sheetData>
    <row r="2" spans="2:12" ht="21.75" customHeight="1">
      <c r="B2" s="1348" t="s">
        <v>278</v>
      </c>
      <c r="C2" s="1090"/>
      <c r="D2" s="1090"/>
      <c r="E2" s="1090"/>
      <c r="F2" s="1091"/>
      <c r="G2" s="1"/>
      <c r="H2" s="1353" t="s">
        <v>582</v>
      </c>
      <c r="I2" s="1354"/>
      <c r="J2" s="1354"/>
      <c r="K2" s="1354"/>
      <c r="L2" s="1355"/>
    </row>
    <row r="3" spans="2:12" ht="15.75" customHeight="1">
      <c r="B3" s="506" t="s">
        <v>121</v>
      </c>
      <c r="C3" s="507">
        <v>1</v>
      </c>
      <c r="D3" s="508">
        <v>2</v>
      </c>
      <c r="E3" s="508">
        <v>3</v>
      </c>
      <c r="F3" s="509">
        <v>4</v>
      </c>
      <c r="G3" s="60"/>
      <c r="H3" s="510"/>
      <c r="I3" s="60"/>
      <c r="J3" s="60"/>
      <c r="K3" s="60"/>
      <c r="L3" s="511"/>
    </row>
    <row r="4" spans="2:12" ht="21.75" customHeight="1">
      <c r="B4" s="1356"/>
      <c r="C4" s="174" t="s">
        <v>238</v>
      </c>
      <c r="D4" s="175">
        <f>EC!C27</f>
        <v>0</v>
      </c>
      <c r="E4" s="176" t="s">
        <v>240</v>
      </c>
      <c r="F4" s="177">
        <f>EC!C28</f>
        <v>6</v>
      </c>
      <c r="G4" s="1"/>
      <c r="H4" s="484"/>
      <c r="I4" s="1"/>
      <c r="J4" s="1"/>
      <c r="K4" s="1"/>
      <c r="L4" s="308"/>
    </row>
    <row r="5" spans="2:12" ht="30" customHeight="1">
      <c r="B5" s="1262"/>
      <c r="C5" s="1330" t="s">
        <v>279</v>
      </c>
      <c r="D5" s="1082"/>
      <c r="E5" s="1332" t="s">
        <v>229</v>
      </c>
      <c r="F5" s="1098"/>
      <c r="G5" s="121"/>
      <c r="H5" s="233"/>
      <c r="I5" s="121"/>
      <c r="J5" s="121"/>
      <c r="K5" s="121"/>
      <c r="L5" s="234"/>
    </row>
    <row r="6" spans="2:12" ht="17.25" customHeight="1">
      <c r="B6" s="181" t="s">
        <v>126</v>
      </c>
      <c r="C6" s="1156" t="s">
        <v>127</v>
      </c>
      <c r="D6" s="1082"/>
      <c r="E6" s="1156" t="s">
        <v>128</v>
      </c>
      <c r="F6" s="1098"/>
      <c r="G6" s="226"/>
      <c r="H6" s="233"/>
      <c r="I6" s="226"/>
      <c r="J6" s="226"/>
      <c r="K6" s="226"/>
      <c r="L6" s="512"/>
    </row>
    <row r="7" spans="2:12" ht="51">
      <c r="B7" s="157">
        <v>1</v>
      </c>
      <c r="C7" s="335" t="s">
        <v>911</v>
      </c>
      <c r="D7" s="489"/>
      <c r="E7" s="341" t="s">
        <v>913</v>
      </c>
      <c r="F7" s="490">
        <v>1</v>
      </c>
      <c r="G7" s="1"/>
      <c r="H7" s="484"/>
      <c r="I7" s="1"/>
      <c r="J7" s="1"/>
      <c r="K7" s="1"/>
      <c r="L7" s="308"/>
    </row>
    <row r="8" spans="2:12" ht="31.5" customHeight="1">
      <c r="B8" s="157">
        <v>2</v>
      </c>
      <c r="C8" s="335" t="s">
        <v>912</v>
      </c>
      <c r="D8" s="443">
        <v>1</v>
      </c>
      <c r="E8" s="328" t="s">
        <v>914</v>
      </c>
      <c r="F8" s="444"/>
      <c r="G8" s="1"/>
      <c r="H8" s="484"/>
      <c r="I8" s="1"/>
      <c r="J8" s="1"/>
      <c r="K8" s="1"/>
      <c r="L8" s="308"/>
    </row>
    <row r="9" spans="2:12" ht="38.25">
      <c r="B9" s="160">
        <v>3</v>
      </c>
      <c r="C9" s="187" t="s">
        <v>280</v>
      </c>
      <c r="D9" s="447"/>
      <c r="E9" s="828" t="s">
        <v>281</v>
      </c>
      <c r="F9" s="491">
        <v>1</v>
      </c>
      <c r="G9" s="1"/>
      <c r="H9" s="484"/>
      <c r="I9" s="1"/>
      <c r="J9" s="1"/>
      <c r="K9" s="1"/>
      <c r="L9" s="308"/>
    </row>
    <row r="10" spans="2:12" ht="42.75" customHeight="1">
      <c r="B10" s="273">
        <v>4</v>
      </c>
      <c r="C10" s="328" t="s">
        <v>282</v>
      </c>
      <c r="D10" s="447"/>
      <c r="E10" s="328" t="s">
        <v>283</v>
      </c>
      <c r="F10" s="447">
        <v>1</v>
      </c>
      <c r="G10" s="513"/>
      <c r="H10" s="484"/>
      <c r="I10" s="1"/>
      <c r="J10" s="1"/>
      <c r="L10" s="514"/>
    </row>
    <row r="11" spans="2:12" ht="15.75" customHeight="1">
      <c r="B11" s="196"/>
      <c r="C11" s="515"/>
      <c r="D11" s="516">
        <f>SUM(D7:D10)</f>
        <v>1</v>
      </c>
      <c r="E11" s="517"/>
      <c r="F11" s="518">
        <f>SUM(F7:F10)</f>
        <v>3</v>
      </c>
      <c r="G11" s="1"/>
      <c r="H11" s="484"/>
      <c r="I11" s="1"/>
      <c r="J11" s="1"/>
      <c r="K11" s="1"/>
      <c r="L11" s="308"/>
    </row>
    <row r="12" spans="2:12" ht="3.75" customHeight="1">
      <c r="B12" s="1"/>
      <c r="C12" s="24"/>
      <c r="D12" s="519"/>
      <c r="E12" s="224"/>
      <c r="F12" s="519"/>
      <c r="G12" s="1"/>
      <c r="H12" s="484"/>
      <c r="I12" s="1"/>
      <c r="J12" s="1"/>
      <c r="K12" s="1"/>
      <c r="L12" s="308"/>
    </row>
    <row r="13" spans="2:12" ht="21" customHeight="1">
      <c r="B13" s="1233" t="s">
        <v>119</v>
      </c>
      <c r="C13" s="1111"/>
      <c r="D13" s="1138"/>
      <c r="E13" s="1362">
        <f>IF(D11=4,0,D11*D4/4+F11*F4/4)</f>
        <v>4.5</v>
      </c>
      <c r="F13" s="1138"/>
      <c r="G13" s="1"/>
      <c r="H13" s="484"/>
      <c r="I13" s="1"/>
      <c r="J13" s="1"/>
      <c r="K13" s="1"/>
      <c r="L13" s="308"/>
    </row>
    <row r="14" spans="2:12" ht="7.5" customHeight="1">
      <c r="B14" s="1"/>
      <c r="C14" s="1"/>
      <c r="D14" s="14"/>
      <c r="E14" s="1"/>
      <c r="F14" s="14"/>
      <c r="G14" s="1"/>
      <c r="H14" s="484"/>
      <c r="I14" s="1"/>
      <c r="J14" s="1"/>
      <c r="K14" s="1"/>
      <c r="L14" s="308"/>
    </row>
    <row r="15" spans="2:12" ht="21" customHeight="1">
      <c r="B15" s="1110" t="s">
        <v>130</v>
      </c>
      <c r="C15" s="1111"/>
      <c r="D15" s="1140"/>
      <c r="E15" s="1168">
        <f>E13</f>
        <v>4.5</v>
      </c>
      <c r="F15" s="1138"/>
      <c r="G15" s="1"/>
      <c r="H15" s="520"/>
      <c r="I15" s="477"/>
      <c r="J15" s="477"/>
      <c r="K15" s="477"/>
      <c r="L15" s="478"/>
    </row>
    <row r="17" spans="2:6" ht="15" customHeight="1">
      <c r="B17" s="863" t="str">
        <f>IF(D7+F7&gt;1,"WARNING! Too many options selected for Row 1"," ")</f>
        <v xml:space="preserve"> </v>
      </c>
      <c r="C17" s="848"/>
      <c r="D17" s="848"/>
      <c r="E17" s="848"/>
      <c r="F17" s="862"/>
    </row>
    <row r="18" spans="2:6" ht="15.75">
      <c r="B18" s="1360" t="str">
        <f>IF(D8+F8&gt;1,"WARNING! Too many options selected for Row 2"," ")</f>
        <v xml:space="preserve"> </v>
      </c>
      <c r="C18" s="1344"/>
      <c r="D18" s="1344"/>
      <c r="E18" s="1344"/>
      <c r="F18" s="1361"/>
    </row>
    <row r="19" spans="2:6" ht="15.75">
      <c r="B19" s="1360" t="str">
        <f>IF(D9+F9&gt;1,"WARNING! Too many options selected for Row 3"," ")</f>
        <v xml:space="preserve"> </v>
      </c>
      <c r="C19" s="1344"/>
      <c r="D19" s="1344"/>
      <c r="E19" s="1344"/>
      <c r="F19" s="1361"/>
    </row>
    <row r="20" spans="2:6" ht="16.5" thickBot="1">
      <c r="B20" s="1357" t="str">
        <f>IF(D10+F10&gt;1,"WARNING! Too many options selected for Row 4"," ")</f>
        <v xml:space="preserve"> </v>
      </c>
      <c r="C20" s="1358"/>
      <c r="D20" s="1358"/>
      <c r="E20" s="1358"/>
      <c r="F20" s="1359"/>
    </row>
  </sheetData>
  <mergeCells count="14">
    <mergeCell ref="B20:F20"/>
    <mergeCell ref="B18:F18"/>
    <mergeCell ref="B19:F19"/>
    <mergeCell ref="B13:D13"/>
    <mergeCell ref="E13:F13"/>
    <mergeCell ref="B15:D15"/>
    <mergeCell ref="E15:F15"/>
    <mergeCell ref="C6:D6"/>
    <mergeCell ref="E6:F6"/>
    <mergeCell ref="B2:F2"/>
    <mergeCell ref="H2:L2"/>
    <mergeCell ref="B4:B5"/>
    <mergeCell ref="C5:D5"/>
    <mergeCell ref="E5:F5"/>
  </mergeCells>
  <pageMargins left="0.70866141732283472" right="0.70866141732283472" top="0.74803149606299213" bottom="0.74803149606299213" header="0" footer="0"/>
  <pageSetup paperSize="5"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7F986"/>
    <pageSetUpPr fitToPage="1"/>
  </sheetPr>
  <dimension ref="B2:R55"/>
  <sheetViews>
    <sheetView zoomScale="70" zoomScaleNormal="70" workbookViewId="0">
      <selection activeCell="Q29" sqref="Q29"/>
    </sheetView>
  </sheetViews>
  <sheetFormatPr defaultColWidth="14.42578125" defaultRowHeight="15" customHeight="1"/>
  <cols>
    <col min="1" max="1" width="4.5703125" customWidth="1"/>
    <col min="2" max="2" width="8.85546875" customWidth="1"/>
    <col min="3" max="3" width="33.140625" customWidth="1"/>
    <col min="4" max="4" width="4.85546875" customWidth="1"/>
    <col min="5" max="5" width="40.85546875" customWidth="1"/>
    <col min="6" max="6" width="4.5703125" customWidth="1"/>
    <col min="7" max="7" width="38.5703125" customWidth="1"/>
    <col min="8" max="8" width="4.85546875" customWidth="1"/>
    <col min="9" max="9" width="42.140625" customWidth="1"/>
    <col min="10" max="10" width="4.85546875" customWidth="1"/>
    <col min="11" max="11" width="2" customWidth="1"/>
    <col min="12" max="12" width="4.5703125" customWidth="1"/>
    <col min="13" max="15" width="9.140625" customWidth="1"/>
    <col min="16" max="16" width="17.140625" customWidth="1"/>
    <col min="17" max="17" width="9.140625" customWidth="1"/>
    <col min="18" max="18" width="13.85546875" customWidth="1"/>
    <col min="19" max="26" width="9.140625" customWidth="1"/>
  </cols>
  <sheetData>
    <row r="2" spans="2:18" ht="21.75" customHeight="1">
      <c r="B2" s="1390" t="s">
        <v>943</v>
      </c>
      <c r="C2" s="1018"/>
      <c r="D2" s="1018"/>
      <c r="E2" s="1018"/>
      <c r="F2" s="1018"/>
      <c r="G2" s="1018"/>
      <c r="H2" s="1018"/>
      <c r="I2" s="1018"/>
      <c r="J2" s="1023"/>
      <c r="K2" s="1"/>
      <c r="L2" s="1188" t="s">
        <v>582</v>
      </c>
      <c r="M2" s="1391"/>
      <c r="N2" s="1391"/>
      <c r="O2" s="1391"/>
      <c r="P2" s="1391"/>
      <c r="Q2" s="1391"/>
      <c r="R2" s="1392"/>
    </row>
    <row r="3" spans="2:18" ht="15.75" customHeight="1">
      <c r="B3" s="521" t="s">
        <v>121</v>
      </c>
      <c r="C3" s="522">
        <v>1</v>
      </c>
      <c r="D3" s="90">
        <v>2</v>
      </c>
      <c r="E3" s="90">
        <v>3</v>
      </c>
      <c r="F3" s="90">
        <v>4</v>
      </c>
      <c r="G3" s="90">
        <v>5</v>
      </c>
      <c r="H3" s="90">
        <v>6</v>
      </c>
      <c r="I3" s="90">
        <v>7</v>
      </c>
      <c r="J3" s="384">
        <v>8</v>
      </c>
      <c r="K3" s="60"/>
      <c r="L3" s="523"/>
      <c r="M3" s="260"/>
      <c r="N3" s="524"/>
      <c r="O3" s="524"/>
      <c r="P3" s="524"/>
      <c r="Q3" s="524"/>
      <c r="R3" s="525"/>
    </row>
    <row r="4" spans="2:18" ht="34.5" customHeight="1">
      <c r="B4" s="526"/>
      <c r="C4" s="174" t="s">
        <v>284</v>
      </c>
      <c r="D4" s="175">
        <f>EC!C30</f>
        <v>0</v>
      </c>
      <c r="E4" s="176" t="s">
        <v>285</v>
      </c>
      <c r="F4" s="175">
        <f>EC!C31</f>
        <v>3</v>
      </c>
      <c r="G4" s="176" t="s">
        <v>172</v>
      </c>
      <c r="H4" s="175">
        <f>EC!C32</f>
        <v>12</v>
      </c>
      <c r="I4" s="176" t="s">
        <v>286</v>
      </c>
      <c r="J4" s="177">
        <f>EC!C33</f>
        <v>26</v>
      </c>
      <c r="K4" s="1"/>
      <c r="L4" s="527"/>
      <c r="M4" s="204"/>
      <c r="N4" s="500"/>
      <c r="O4" s="500"/>
      <c r="P4" s="500"/>
      <c r="Q4" s="500"/>
      <c r="R4" s="501"/>
    </row>
    <row r="5" spans="2:18">
      <c r="B5" s="521" t="s">
        <v>126</v>
      </c>
      <c r="C5" s="1156" t="s">
        <v>127</v>
      </c>
      <c r="D5" s="1082"/>
      <c r="E5" s="1393" t="s">
        <v>128</v>
      </c>
      <c r="F5" s="1181"/>
      <c r="G5" s="1181"/>
      <c r="H5" s="1181"/>
      <c r="I5" s="1181"/>
      <c r="J5" s="1182"/>
      <c r="K5" s="1"/>
      <c r="L5" s="486"/>
      <c r="M5" s="138"/>
      <c r="N5" s="138"/>
      <c r="O5" s="138"/>
      <c r="P5" s="138"/>
      <c r="Q5" s="138"/>
      <c r="R5" s="465"/>
    </row>
    <row r="6" spans="2:18">
      <c r="B6" s="1381" t="s">
        <v>287</v>
      </c>
      <c r="C6" s="1086"/>
      <c r="D6" s="1142"/>
      <c r="E6" s="1086"/>
      <c r="F6" s="1086"/>
      <c r="G6" s="1086"/>
      <c r="H6" s="1086"/>
      <c r="I6" s="1086"/>
      <c r="J6" s="1087"/>
      <c r="K6" s="10"/>
      <c r="L6" s="488"/>
      <c r="M6" s="138"/>
      <c r="N6" s="204"/>
      <c r="O6" s="204"/>
      <c r="P6" s="204"/>
      <c r="Q6" s="204"/>
      <c r="R6" s="463"/>
    </row>
    <row r="7" spans="2:18" ht="27.75" customHeight="1" thickBot="1">
      <c r="B7" s="273">
        <v>1</v>
      </c>
      <c r="C7" s="782" t="s">
        <v>588</v>
      </c>
      <c r="D7" s="183"/>
      <c r="E7" s="829" t="s">
        <v>591</v>
      </c>
      <c r="F7" s="183"/>
      <c r="G7" s="830" t="s">
        <v>593</v>
      </c>
      <c r="H7" s="183">
        <v>1</v>
      </c>
      <c r="I7" s="830" t="s">
        <v>595</v>
      </c>
      <c r="J7" s="185"/>
      <c r="K7" s="1"/>
      <c r="L7" s="488"/>
      <c r="M7" s="204"/>
      <c r="N7" s="204"/>
      <c r="O7" s="204"/>
      <c r="P7" s="204"/>
      <c r="Q7" s="204"/>
      <c r="R7" s="463"/>
    </row>
    <row r="8" spans="2:18" ht="18.600000000000001" customHeight="1" thickBot="1">
      <c r="B8" s="273">
        <v>2</v>
      </c>
      <c r="C8" s="782" t="s">
        <v>589</v>
      </c>
      <c r="D8" s="832"/>
      <c r="E8" s="829" t="s">
        <v>590</v>
      </c>
      <c r="F8" s="832"/>
      <c r="G8" s="830" t="s">
        <v>592</v>
      </c>
      <c r="H8" s="192">
        <v>1</v>
      </c>
      <c r="I8" s="830" t="s">
        <v>594</v>
      </c>
      <c r="J8" s="531"/>
      <c r="K8" s="121"/>
      <c r="L8" s="486"/>
      <c r="M8" s="204"/>
      <c r="N8" s="204"/>
      <c r="O8" s="204"/>
      <c r="P8" s="204"/>
      <c r="Q8" s="204"/>
      <c r="R8" s="463"/>
    </row>
    <row r="9" spans="2:18">
      <c r="B9" s="1372" t="s">
        <v>288</v>
      </c>
      <c r="C9" s="1373"/>
      <c r="D9" s="1373"/>
      <c r="E9" s="1373"/>
      <c r="F9" s="1373"/>
      <c r="G9" s="1373"/>
      <c r="H9" s="1373"/>
      <c r="I9" s="1373"/>
      <c r="J9" s="1374"/>
      <c r="K9" s="831"/>
      <c r="L9" s="825"/>
      <c r="M9" s="826"/>
      <c r="N9" s="826"/>
      <c r="O9" s="826"/>
      <c r="P9" s="826"/>
      <c r="Q9" s="826"/>
      <c r="R9" s="827"/>
    </row>
    <row r="10" spans="2:18" ht="25.5">
      <c r="B10" s="273">
        <v>3</v>
      </c>
      <c r="C10" s="833" t="s">
        <v>596</v>
      </c>
      <c r="D10" s="896"/>
      <c r="E10" s="836" t="s">
        <v>729</v>
      </c>
      <c r="F10" s="533"/>
      <c r="G10" s="782" t="s">
        <v>728</v>
      </c>
      <c r="H10" s="533">
        <v>1</v>
      </c>
      <c r="I10" s="830" t="s">
        <v>727</v>
      </c>
      <c r="J10" s="534"/>
      <c r="K10" s="226"/>
      <c r="L10" s="486"/>
      <c r="M10" s="204"/>
      <c r="N10" s="204"/>
      <c r="O10" s="204"/>
      <c r="P10" s="204"/>
      <c r="Q10" s="204"/>
      <c r="R10" s="463"/>
    </row>
    <row r="11" spans="2:18" ht="15.75">
      <c r="B11" s="1384" t="s">
        <v>726</v>
      </c>
      <c r="C11" s="1385"/>
      <c r="D11" s="1385"/>
      <c r="E11" s="1385"/>
      <c r="F11" s="1385"/>
      <c r="G11" s="1385"/>
      <c r="H11" s="1385"/>
      <c r="I11" s="1385"/>
      <c r="J11" s="1386"/>
      <c r="K11" s="24"/>
      <c r="L11" s="486"/>
      <c r="M11" s="204"/>
      <c r="N11" s="204"/>
      <c r="O11" s="204"/>
      <c r="P11" s="204"/>
      <c r="Q11" s="204"/>
      <c r="R11" s="463"/>
    </row>
    <row r="12" spans="2:18">
      <c r="B12" s="839">
        <v>4</v>
      </c>
      <c r="C12" s="830" t="s">
        <v>733</v>
      </c>
      <c r="D12" s="897"/>
      <c r="E12" s="829" t="s">
        <v>732</v>
      </c>
      <c r="F12" s="888"/>
      <c r="G12" s="830" t="s">
        <v>731</v>
      </c>
      <c r="H12" s="888">
        <v>1</v>
      </c>
      <c r="I12" s="830" t="s">
        <v>730</v>
      </c>
      <c r="J12" s="889"/>
      <c r="K12" s="890"/>
      <c r="L12" s="825"/>
      <c r="M12" s="826"/>
      <c r="N12" s="826"/>
      <c r="O12" s="826"/>
      <c r="P12" s="826"/>
      <c r="Q12" s="826"/>
      <c r="R12" s="827"/>
    </row>
    <row r="13" spans="2:18" ht="15.75">
      <c r="B13" s="1375" t="s">
        <v>289</v>
      </c>
      <c r="C13" s="1376"/>
      <c r="D13" s="1376"/>
      <c r="E13" s="1376"/>
      <c r="F13" s="1376"/>
      <c r="G13" s="1376"/>
      <c r="H13" s="1376"/>
      <c r="I13" s="1376"/>
      <c r="J13" s="1377"/>
      <c r="K13" s="890"/>
      <c r="L13" s="825"/>
      <c r="M13" s="826"/>
      <c r="N13" s="826"/>
      <c r="O13" s="826"/>
      <c r="P13" s="826"/>
      <c r="Q13" s="826"/>
      <c r="R13" s="827"/>
    </row>
    <row r="14" spans="2:18" ht="43.35" customHeight="1">
      <c r="B14" s="273">
        <v>5</v>
      </c>
      <c r="C14" s="835" t="s">
        <v>597</v>
      </c>
      <c r="D14" s="532"/>
      <c r="E14" s="836" t="s">
        <v>598</v>
      </c>
      <c r="F14" s="533"/>
      <c r="G14" s="829" t="s">
        <v>599</v>
      </c>
      <c r="H14" s="533">
        <v>1</v>
      </c>
      <c r="I14" s="829" t="s">
        <v>600</v>
      </c>
      <c r="J14" s="534"/>
      <c r="K14" s="24"/>
      <c r="L14" s="486"/>
      <c r="M14" s="204"/>
      <c r="N14" s="204"/>
      <c r="O14" s="204"/>
      <c r="P14" s="204"/>
      <c r="Q14" s="204"/>
      <c r="R14" s="463"/>
    </row>
    <row r="15" spans="2:18" ht="15.75">
      <c r="B15" s="1375" t="s">
        <v>752</v>
      </c>
      <c r="C15" s="1376"/>
      <c r="D15" s="1376"/>
      <c r="E15" s="1376"/>
      <c r="F15" s="1376"/>
      <c r="G15" s="1376"/>
      <c r="H15" s="1376"/>
      <c r="I15" s="1376"/>
      <c r="J15" s="1377"/>
      <c r="K15" s="24"/>
      <c r="L15" s="486"/>
      <c r="M15" s="204"/>
      <c r="N15" s="204"/>
      <c r="O15" s="204"/>
      <c r="P15" s="204"/>
      <c r="Q15" s="204"/>
      <c r="R15" s="463"/>
    </row>
    <row r="16" spans="2:18" ht="34.5" thickBot="1">
      <c r="B16" s="273">
        <v>6</v>
      </c>
      <c r="C16" s="835" t="s">
        <v>604</v>
      </c>
      <c r="D16" s="533"/>
      <c r="E16" s="829" t="s">
        <v>603</v>
      </c>
      <c r="F16" s="533"/>
      <c r="G16" s="829" t="s">
        <v>602</v>
      </c>
      <c r="H16" s="533">
        <v>1</v>
      </c>
      <c r="I16" s="829" t="s">
        <v>601</v>
      </c>
      <c r="J16" s="534"/>
      <c r="K16" s="24"/>
      <c r="L16" s="486"/>
      <c r="M16" s="204"/>
      <c r="N16" s="204"/>
      <c r="O16" s="536"/>
      <c r="P16" s="536"/>
      <c r="Q16" s="536"/>
      <c r="R16" s="537"/>
    </row>
    <row r="17" spans="2:10" ht="25.5">
      <c r="B17" s="273">
        <v>7</v>
      </c>
      <c r="C17" s="190" t="s">
        <v>739</v>
      </c>
      <c r="D17" s="192"/>
      <c r="E17" s="190" t="s">
        <v>736</v>
      </c>
      <c r="F17" s="192"/>
      <c r="G17" s="184" t="s">
        <v>737</v>
      </c>
      <c r="H17" s="192"/>
      <c r="I17" s="184" t="s">
        <v>738</v>
      </c>
      <c r="J17" s="531"/>
    </row>
    <row r="18" spans="2:10" ht="15.75">
      <c r="B18" s="1375" t="s">
        <v>735</v>
      </c>
      <c r="C18" s="1376"/>
      <c r="D18" s="1376"/>
      <c r="E18" s="1376"/>
      <c r="F18" s="1376"/>
      <c r="G18" s="1376"/>
      <c r="H18" s="1376"/>
      <c r="I18" s="1376"/>
      <c r="J18" s="1377"/>
    </row>
    <row r="19" spans="2:10" ht="26.25" thickBot="1">
      <c r="B19" s="273">
        <v>8</v>
      </c>
      <c r="C19" s="892" t="s">
        <v>740</v>
      </c>
      <c r="D19" s="183"/>
      <c r="E19" s="190" t="s">
        <v>741</v>
      </c>
      <c r="F19" s="183"/>
      <c r="G19" s="184" t="s">
        <v>742</v>
      </c>
      <c r="H19" s="183">
        <v>1</v>
      </c>
      <c r="I19" s="184" t="s">
        <v>743</v>
      </c>
      <c r="J19" s="185"/>
    </row>
    <row r="20" spans="2:10" ht="30.75" customHeight="1" thickBot="1">
      <c r="B20" s="273">
        <v>9</v>
      </c>
      <c r="C20" s="892" t="s">
        <v>744</v>
      </c>
      <c r="D20" s="193"/>
      <c r="E20" s="280" t="s">
        <v>745</v>
      </c>
      <c r="F20" s="193"/>
      <c r="G20" s="529" t="s">
        <v>746</v>
      </c>
      <c r="H20" s="188">
        <v>1</v>
      </c>
      <c r="I20" s="529" t="s">
        <v>747</v>
      </c>
      <c r="J20" s="189"/>
    </row>
    <row r="21" spans="2:10" ht="28.35" customHeight="1" thickBot="1">
      <c r="B21" s="273">
        <v>10</v>
      </c>
      <c r="C21" s="893" t="s">
        <v>748</v>
      </c>
      <c r="D21" s="188"/>
      <c r="E21" s="894" t="s">
        <v>749</v>
      </c>
      <c r="F21" s="188"/>
      <c r="G21" s="184" t="s">
        <v>750</v>
      </c>
      <c r="H21" s="188">
        <v>1</v>
      </c>
      <c r="I21" s="184" t="s">
        <v>751</v>
      </c>
      <c r="J21" s="189"/>
    </row>
    <row r="22" spans="2:10" ht="15.75">
      <c r="B22" s="1378" t="s">
        <v>605</v>
      </c>
      <c r="C22" s="1379"/>
      <c r="D22" s="1379"/>
      <c r="E22" s="1379"/>
      <c r="F22" s="1379"/>
      <c r="G22" s="1379"/>
      <c r="H22" s="1379"/>
      <c r="I22" s="1379"/>
      <c r="J22" s="1380"/>
    </row>
    <row r="23" spans="2:10" ht="22.35" customHeight="1" thickBot="1">
      <c r="B23" s="273">
        <v>11</v>
      </c>
      <c r="C23" s="842" t="s">
        <v>609</v>
      </c>
      <c r="D23" s="539"/>
      <c r="E23" s="838" t="s">
        <v>606</v>
      </c>
      <c r="F23" s="539"/>
      <c r="G23" s="830" t="s">
        <v>607</v>
      </c>
      <c r="H23" s="539">
        <v>1</v>
      </c>
      <c r="I23" s="830" t="s">
        <v>608</v>
      </c>
      <c r="J23" s="539"/>
    </row>
    <row r="24" spans="2:10" ht="21" customHeight="1" thickBot="1">
      <c r="B24" s="839">
        <v>12</v>
      </c>
      <c r="C24" s="847" t="s">
        <v>611</v>
      </c>
      <c r="D24" s="840"/>
      <c r="E24" s="847" t="s">
        <v>612</v>
      </c>
      <c r="F24" s="337"/>
      <c r="G24" s="847" t="s">
        <v>613</v>
      </c>
      <c r="H24" s="337">
        <v>1</v>
      </c>
      <c r="I24" s="847" t="s">
        <v>610</v>
      </c>
      <c r="J24" s="337"/>
    </row>
    <row r="25" spans="2:10" ht="25.5">
      <c r="B25" s="839">
        <v>13</v>
      </c>
      <c r="C25" s="843" t="s">
        <v>615</v>
      </c>
      <c r="D25" s="841"/>
      <c r="E25" s="844" t="s">
        <v>616</v>
      </c>
      <c r="F25" s="342"/>
      <c r="G25" s="782" t="s">
        <v>617</v>
      </c>
      <c r="H25" s="342">
        <v>1</v>
      </c>
      <c r="I25" s="782" t="s">
        <v>614</v>
      </c>
      <c r="J25" s="342"/>
    </row>
    <row r="26" spans="2:10" ht="15.75">
      <c r="B26" s="1368" t="s">
        <v>734</v>
      </c>
      <c r="C26" s="1369"/>
      <c r="D26" s="1369"/>
      <c r="E26" s="1369"/>
      <c r="F26" s="1369"/>
      <c r="G26" s="1369"/>
      <c r="H26" s="1369"/>
      <c r="I26" s="1369"/>
      <c r="J26" s="1370"/>
    </row>
    <row r="27" spans="2:10" ht="51.75" thickBot="1">
      <c r="B27" s="273">
        <v>14</v>
      </c>
      <c r="C27" s="814" t="s">
        <v>618</v>
      </c>
      <c r="D27" s="185"/>
      <c r="E27" s="845" t="s">
        <v>619</v>
      </c>
      <c r="F27" s="185">
        <v>1</v>
      </c>
      <c r="G27" s="190" t="s">
        <v>884</v>
      </c>
      <c r="H27" s="185"/>
      <c r="I27" s="190" t="s">
        <v>292</v>
      </c>
      <c r="J27" s="185"/>
    </row>
    <row r="28" spans="2:10" ht="15.75">
      <c r="B28" s="1375" t="s">
        <v>293</v>
      </c>
      <c r="C28" s="1376"/>
      <c r="D28" s="1376"/>
      <c r="E28" s="1376"/>
      <c r="F28" s="1376"/>
      <c r="G28" s="1376"/>
      <c r="H28" s="1376"/>
      <c r="I28" s="1376"/>
      <c r="J28" s="1377"/>
    </row>
    <row r="29" spans="2:10" ht="32.25" customHeight="1" thickBot="1">
      <c r="B29" s="273">
        <v>15</v>
      </c>
      <c r="C29" s="184" t="s">
        <v>869</v>
      </c>
      <c r="D29" s="533"/>
      <c r="E29" s="184" t="s">
        <v>753</v>
      </c>
      <c r="F29" s="533">
        <v>1</v>
      </c>
      <c r="G29" s="184" t="s">
        <v>885</v>
      </c>
      <c r="H29" s="541"/>
      <c r="I29" s="543" t="s">
        <v>886</v>
      </c>
      <c r="J29" s="542"/>
    </row>
    <row r="30" spans="2:10" ht="15.75">
      <c r="B30" s="1381" t="s">
        <v>294</v>
      </c>
      <c r="C30" s="1382"/>
      <c r="D30" s="1382"/>
      <c r="E30" s="1382"/>
      <c r="F30" s="1382"/>
      <c r="G30" s="1382"/>
      <c r="H30" s="1382"/>
      <c r="I30" s="1382"/>
      <c r="J30" s="1383"/>
    </row>
    <row r="31" spans="2:10" ht="64.5" thickBot="1">
      <c r="B31" s="273">
        <v>16</v>
      </c>
      <c r="C31" s="184" t="s">
        <v>870</v>
      </c>
      <c r="D31" s="183"/>
      <c r="E31" s="184" t="s">
        <v>865</v>
      </c>
      <c r="F31" s="183"/>
      <c r="G31" s="184" t="s">
        <v>866</v>
      </c>
      <c r="H31" s="183"/>
      <c r="I31" s="543" t="s">
        <v>968</v>
      </c>
      <c r="J31" s="185">
        <v>1</v>
      </c>
    </row>
    <row r="32" spans="2:10" ht="51.75" customHeight="1" thickBot="1">
      <c r="B32" s="273">
        <v>17</v>
      </c>
      <c r="C32" s="184" t="s">
        <v>871</v>
      </c>
      <c r="D32" s="192"/>
      <c r="E32" s="190" t="s">
        <v>754</v>
      </c>
      <c r="F32" s="192"/>
      <c r="G32" s="184" t="s">
        <v>755</v>
      </c>
      <c r="H32" s="544"/>
      <c r="I32" s="895" t="s">
        <v>969</v>
      </c>
      <c r="J32" s="545"/>
    </row>
    <row r="33" spans="2:10" ht="15.75" thickBot="1">
      <c r="B33" s="273"/>
      <c r="C33" s="546"/>
      <c r="D33" s="547">
        <f>SUM(D7:D32)</f>
        <v>0</v>
      </c>
      <c r="E33" s="547" t="s">
        <v>129</v>
      </c>
      <c r="F33" s="547">
        <f>SUM(F7:F32)</f>
        <v>2</v>
      </c>
      <c r="G33" s="547" t="s">
        <v>129</v>
      </c>
      <c r="H33" s="547">
        <f>SUM(H7:H32)</f>
        <v>12</v>
      </c>
      <c r="I33" s="547" t="s">
        <v>129</v>
      </c>
      <c r="J33" s="547">
        <f>SUM(J7:J32)</f>
        <v>1</v>
      </c>
    </row>
    <row r="34" spans="2:10" ht="6" customHeight="1" thickBot="1">
      <c r="B34" s="226"/>
      <c r="C34" s="33"/>
      <c r="D34" s="548"/>
      <c r="E34" s="33"/>
      <c r="F34" s="224"/>
      <c r="G34" s="33"/>
      <c r="H34" s="223"/>
      <c r="I34" s="33"/>
      <c r="J34" s="223"/>
    </row>
    <row r="35" spans="2:10" ht="22.35" customHeight="1" thickBot="1">
      <c r="B35" s="1137" t="s">
        <v>119</v>
      </c>
      <c r="C35" s="1111"/>
      <c r="D35" s="1111"/>
      <c r="E35" s="1111"/>
      <c r="F35" s="1111"/>
      <c r="G35" s="1111"/>
      <c r="H35" s="1138"/>
      <c r="I35" s="1234">
        <f>IF(J31=1,(D33*D4/16+F33*F4/16+H33*H4/16+J33*J4/16),(D33*D4/17+F33*F4/17+H33*H4/17+J33*J4/17))</f>
        <v>11</v>
      </c>
      <c r="J35" s="1388"/>
    </row>
    <row r="36" spans="2:10" ht="8.1" customHeight="1" thickBot="1">
      <c r="B36" s="226"/>
      <c r="C36" s="24"/>
      <c r="D36" s="21"/>
      <c r="E36" s="24"/>
      <c r="F36" s="224"/>
      <c r="G36" s="24"/>
      <c r="H36" s="223"/>
      <c r="I36" s="24"/>
      <c r="J36" s="223"/>
    </row>
    <row r="37" spans="2:10" ht="22.35" customHeight="1" thickBot="1">
      <c r="B37" s="1389" t="s">
        <v>130</v>
      </c>
      <c r="C37" s="1111"/>
      <c r="D37" s="1111"/>
      <c r="E37" s="1111"/>
      <c r="F37" s="1111"/>
      <c r="G37" s="1111"/>
      <c r="H37" s="1140"/>
      <c r="I37" s="1394">
        <f>I35</f>
        <v>11</v>
      </c>
      <c r="J37" s="1395"/>
    </row>
    <row r="38" spans="2:10" ht="11.1" customHeight="1" thickBot="1">
      <c r="B38" s="226"/>
      <c r="C38" s="33"/>
      <c r="D38" s="548"/>
      <c r="E38" s="33"/>
      <c r="F38" s="207"/>
      <c r="G38" s="33"/>
      <c r="H38" s="208"/>
      <c r="I38" s="33"/>
      <c r="J38" s="898"/>
    </row>
    <row r="39" spans="2:10" ht="20.100000000000001" customHeight="1">
      <c r="B39" s="1371" t="str">
        <f>IF(D7+F7+H7+J7&gt;1,"WARNING!  Too many options selected in Row 1"," ")</f>
        <v xml:space="preserve"> </v>
      </c>
      <c r="C39" s="1148"/>
      <c r="D39" s="1148"/>
      <c r="E39" s="1148"/>
      <c r="F39" s="1148"/>
      <c r="G39" s="1148"/>
      <c r="H39" s="1148"/>
      <c r="I39" s="1148"/>
      <c r="J39" s="1365"/>
    </row>
    <row r="40" spans="2:10" ht="20.100000000000001" customHeight="1">
      <c r="B40" s="1387" t="str">
        <f>IF(D8+F8+H8+J8&gt;1,"WARNING!  Too many options selected in Row 2"," ")</f>
        <v xml:space="preserve"> </v>
      </c>
      <c r="C40" s="1142"/>
      <c r="D40" s="1142"/>
      <c r="E40" s="1142"/>
      <c r="F40" s="1142"/>
      <c r="G40" s="1142"/>
      <c r="H40" s="1142"/>
      <c r="I40" s="1142"/>
      <c r="J40" s="1366"/>
    </row>
    <row r="41" spans="2:10" ht="20.100000000000001" customHeight="1">
      <c r="B41" s="1387" t="str">
        <f>IF(D10+F10+H10+J10&gt;1,"WARNING!  Too many options selected in Row 3"," ")</f>
        <v xml:space="preserve"> </v>
      </c>
      <c r="C41" s="1142"/>
      <c r="D41" s="1142"/>
      <c r="E41" s="1142"/>
      <c r="F41" s="1142"/>
      <c r="G41" s="1142"/>
      <c r="H41" s="1142"/>
      <c r="I41" s="1142"/>
      <c r="J41" s="1366"/>
    </row>
    <row r="42" spans="2:10" ht="20.100000000000001" customHeight="1">
      <c r="B42" s="1387" t="str">
        <f>IF(D12+F12+H12+J12&gt;1,"WARNING!  Too many options selected in Row 4"," ")</f>
        <v xml:space="preserve"> </v>
      </c>
      <c r="C42" s="1142"/>
      <c r="D42" s="1142"/>
      <c r="E42" s="1142"/>
      <c r="F42" s="1142"/>
      <c r="G42" s="1142"/>
      <c r="H42" s="1142"/>
      <c r="I42" s="1142"/>
      <c r="J42" s="1366"/>
    </row>
    <row r="43" spans="2:10" ht="20.100000000000001" customHeight="1">
      <c r="B43" s="1387" t="str">
        <f>IF(D14+F14+H14+J14&gt;1,"WARNING!  Too many options selected in Row 5"," ")</f>
        <v xml:space="preserve"> </v>
      </c>
      <c r="C43" s="1142"/>
      <c r="D43" s="1142"/>
      <c r="E43" s="1142"/>
      <c r="F43" s="1142"/>
      <c r="G43" s="1142"/>
      <c r="H43" s="1142"/>
      <c r="I43" s="1142"/>
      <c r="J43" s="1366"/>
    </row>
    <row r="44" spans="2:10" ht="20.100000000000001" customHeight="1">
      <c r="B44" s="1387" t="str">
        <f>IF(D16+F16+H16+J16&gt;1,"WARNING!  Too many options selected in Row 6"," ")</f>
        <v xml:space="preserve"> </v>
      </c>
      <c r="C44" s="1142"/>
      <c r="D44" s="1142"/>
      <c r="E44" s="1142"/>
      <c r="F44" s="1142"/>
      <c r="G44" s="1142"/>
      <c r="H44" s="1142"/>
      <c r="I44" s="1142"/>
      <c r="J44" s="1366"/>
    </row>
    <row r="45" spans="2:10" ht="20.100000000000001" customHeight="1">
      <c r="B45" s="1387" t="str">
        <f>IF(D17+F17+H17+J17&gt;1,"WARNING!  Too many options selected in Row 7"," ")</f>
        <v xml:space="preserve"> </v>
      </c>
      <c r="C45" s="1142"/>
      <c r="D45" s="1142"/>
      <c r="E45" s="1142"/>
      <c r="F45" s="1142"/>
      <c r="G45" s="1142"/>
      <c r="H45" s="1142"/>
      <c r="I45" s="1142"/>
      <c r="J45" s="1366"/>
    </row>
    <row r="46" spans="2:10" ht="20.100000000000001" customHeight="1">
      <c r="B46" s="1387" t="str">
        <f>IF(D19+F19+H19+J19&gt;1,"WARNING!  Too many options selected in Row 8"," ")</f>
        <v xml:space="preserve"> </v>
      </c>
      <c r="C46" s="1142"/>
      <c r="D46" s="1142"/>
      <c r="E46" s="1142"/>
      <c r="F46" s="1142"/>
      <c r="G46" s="1142"/>
      <c r="H46" s="1142"/>
      <c r="I46" s="1142"/>
      <c r="J46" s="1366"/>
    </row>
    <row r="47" spans="2:10" ht="20.100000000000001" customHeight="1">
      <c r="B47" s="1387" t="str">
        <f>IF(D20+F20+H20+J20&gt;1,"WARNING!  Too many options selected in Row 9"," ")</f>
        <v xml:space="preserve"> </v>
      </c>
      <c r="C47" s="1142"/>
      <c r="D47" s="1142"/>
      <c r="E47" s="1142"/>
      <c r="F47" s="1142"/>
      <c r="G47" s="1142"/>
      <c r="H47" s="1142"/>
      <c r="I47" s="1142"/>
      <c r="J47" s="1366"/>
    </row>
    <row r="48" spans="2:10" ht="20.100000000000001" customHeight="1">
      <c r="B48" s="1387" t="str">
        <f>IF(D21+F21+H21+J21&gt;1,"WARNING!  Too many options selected in Row 10"," ")</f>
        <v xml:space="preserve"> </v>
      </c>
      <c r="C48" s="1142"/>
      <c r="D48" s="1142"/>
      <c r="E48" s="1142"/>
      <c r="F48" s="1142"/>
      <c r="G48" s="1142"/>
      <c r="H48" s="1142"/>
      <c r="I48" s="1142"/>
      <c r="J48" s="1366"/>
    </row>
    <row r="49" spans="2:10" ht="20.100000000000001" customHeight="1">
      <c r="B49" s="1387" t="str">
        <f>IF(D23+F23+H23+J23&gt;1,"WARNING!  Too many options selected in Row 11"," ")</f>
        <v xml:space="preserve"> </v>
      </c>
      <c r="C49" s="1142"/>
      <c r="D49" s="1142"/>
      <c r="E49" s="1142"/>
      <c r="F49" s="1142"/>
      <c r="G49" s="1142"/>
      <c r="H49" s="1142"/>
      <c r="I49" s="1142"/>
      <c r="J49" s="1366"/>
    </row>
    <row r="50" spans="2:10" ht="20.100000000000001" customHeight="1">
      <c r="B50" s="1387" t="str">
        <f>IF(D24+F24+H24+J24&gt;1,"WARNING!  Too many options selected in Row 12"," ")</f>
        <v xml:space="preserve"> </v>
      </c>
      <c r="C50" s="1142"/>
      <c r="D50" s="1142"/>
      <c r="E50" s="1142"/>
      <c r="F50" s="1142"/>
      <c r="G50" s="1142"/>
      <c r="H50" s="1142"/>
      <c r="I50" s="1142"/>
      <c r="J50" s="1366"/>
    </row>
    <row r="51" spans="2:10" ht="20.100000000000001" customHeight="1">
      <c r="B51" s="1387" t="str">
        <f>IF(D25+F25+H25+J25&gt;1,"WARNING!  Too many options selected in Row 13"," ")</f>
        <v xml:space="preserve"> </v>
      </c>
      <c r="C51" s="1142"/>
      <c r="D51" s="1142"/>
      <c r="E51" s="1142"/>
      <c r="F51" s="1142"/>
      <c r="G51" s="1142"/>
      <c r="H51" s="1142"/>
      <c r="I51" s="1142"/>
      <c r="J51" s="1366"/>
    </row>
    <row r="52" spans="2:10" ht="20.100000000000001" customHeight="1">
      <c r="B52" s="1387" t="str">
        <f>IF(D27+F27+H27+J27&gt;1,"WARNING!  Too many options selected in Row 14"," ")</f>
        <v xml:space="preserve"> </v>
      </c>
      <c r="C52" s="1142"/>
      <c r="D52" s="1142"/>
      <c r="E52" s="1142"/>
      <c r="F52" s="1142"/>
      <c r="G52" s="1142"/>
      <c r="H52" s="1142"/>
      <c r="I52" s="1142"/>
      <c r="J52" s="1366"/>
    </row>
    <row r="53" spans="2:10" ht="20.100000000000001" customHeight="1">
      <c r="B53" s="1387" t="str">
        <f>IF(D29+F29+H29+J29&gt;1,"WARNING!  Too many options selected in Row 15"," ")</f>
        <v xml:space="preserve"> </v>
      </c>
      <c r="C53" s="1142"/>
      <c r="D53" s="1142"/>
      <c r="E53" s="1142"/>
      <c r="F53" s="1142"/>
      <c r="G53" s="1142"/>
      <c r="H53" s="1142"/>
      <c r="I53" s="1142"/>
      <c r="J53" s="1366"/>
    </row>
    <row r="54" spans="2:10" ht="20.100000000000001" customHeight="1">
      <c r="B54" s="1387" t="str">
        <f>IF(D31+F31+H31+J31&gt;1,"WARNING!  Too many options selected in Row 16"," ")</f>
        <v xml:space="preserve"> </v>
      </c>
      <c r="C54" s="1142"/>
      <c r="D54" s="1142"/>
      <c r="E54" s="1142"/>
      <c r="F54" s="1142"/>
      <c r="G54" s="1142"/>
      <c r="H54" s="1142"/>
      <c r="I54" s="1142"/>
      <c r="J54" s="1366"/>
    </row>
    <row r="55" spans="2:10" ht="20.100000000000001" customHeight="1" thickBot="1">
      <c r="B55" s="1363" t="str">
        <f>IF(D32+F32+H32+J32&gt;1,"WARNING!  Too many options selected in Row 17"," ")</f>
        <v xml:space="preserve"> </v>
      </c>
      <c r="C55" s="1364"/>
      <c r="D55" s="1364"/>
      <c r="E55" s="1364"/>
      <c r="F55" s="1364"/>
      <c r="G55" s="1364"/>
      <c r="H55" s="1364"/>
      <c r="I55" s="1364"/>
      <c r="J55" s="1367"/>
    </row>
  </sheetData>
  <mergeCells count="36">
    <mergeCell ref="B49:I49"/>
    <mergeCell ref="B50:I50"/>
    <mergeCell ref="B51:I51"/>
    <mergeCell ref="B52:I52"/>
    <mergeCell ref="B53:I53"/>
    <mergeCell ref="B44:I44"/>
    <mergeCell ref="B45:I45"/>
    <mergeCell ref="B46:I46"/>
    <mergeCell ref="B47:I47"/>
    <mergeCell ref="B48:I48"/>
    <mergeCell ref="I37:J37"/>
    <mergeCell ref="B40:I40"/>
    <mergeCell ref="B41:I41"/>
    <mergeCell ref="B42:I42"/>
    <mergeCell ref="B43:I43"/>
    <mergeCell ref="B2:J2"/>
    <mergeCell ref="L2:R2"/>
    <mergeCell ref="C5:D5"/>
    <mergeCell ref="E5:J5"/>
    <mergeCell ref="B6:J6"/>
    <mergeCell ref="B55:I55"/>
    <mergeCell ref="J39:J55"/>
    <mergeCell ref="B26:J26"/>
    <mergeCell ref="B39:I39"/>
    <mergeCell ref="B9:J9"/>
    <mergeCell ref="B13:J13"/>
    <mergeCell ref="B15:J15"/>
    <mergeCell ref="B18:J18"/>
    <mergeCell ref="B22:J22"/>
    <mergeCell ref="B30:J30"/>
    <mergeCell ref="B28:J28"/>
    <mergeCell ref="B11:J11"/>
    <mergeCell ref="B54:I54"/>
    <mergeCell ref="B35:H35"/>
    <mergeCell ref="I35:J35"/>
    <mergeCell ref="B37:H37"/>
  </mergeCells>
  <pageMargins left="0.70866141732283472" right="0.70866141732283472" top="0.74803149606299213" bottom="0.74803149606299213" header="0" footer="0"/>
  <pageSetup paperSize="5"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7F986"/>
    <pageSetUpPr fitToPage="1"/>
  </sheetPr>
  <dimension ref="B2:Q34"/>
  <sheetViews>
    <sheetView topLeftCell="A10" zoomScale="145" zoomScaleNormal="145" workbookViewId="0">
      <selection activeCell="I21" sqref="I21"/>
    </sheetView>
  </sheetViews>
  <sheetFormatPr defaultColWidth="14.42578125" defaultRowHeight="15" customHeight="1"/>
  <cols>
    <col min="1" max="1" width="3.140625" customWidth="1"/>
    <col min="2" max="2" width="7.85546875" customWidth="1"/>
    <col min="3" max="3" width="29.140625" customWidth="1"/>
    <col min="4" max="4" width="3.85546875" customWidth="1"/>
    <col min="5" max="5" width="36.140625" customWidth="1"/>
    <col min="6" max="6" width="3.85546875" customWidth="1"/>
    <col min="7" max="7" width="32.140625" customWidth="1"/>
    <col min="8" max="8" width="3.85546875" customWidth="1"/>
    <col min="9" max="9" width="30.140625" customWidth="1"/>
    <col min="10" max="10" width="3.85546875" customWidth="1"/>
    <col min="11" max="11" width="1.140625" customWidth="1"/>
    <col min="12" max="12" width="9.140625" customWidth="1"/>
    <col min="13" max="13" width="16.140625" customWidth="1"/>
    <col min="14" max="14" width="21.140625" customWidth="1"/>
    <col min="15" max="26" width="9.140625" customWidth="1"/>
  </cols>
  <sheetData>
    <row r="2" spans="2:17" ht="24.75" customHeight="1">
      <c r="B2" s="1348" t="s">
        <v>944</v>
      </c>
      <c r="C2" s="1090"/>
      <c r="D2" s="1090"/>
      <c r="E2" s="1090"/>
      <c r="F2" s="1090"/>
      <c r="G2" s="1090"/>
      <c r="H2" s="1090"/>
      <c r="I2" s="1090"/>
      <c r="J2" s="1091"/>
      <c r="K2" s="305"/>
      <c r="L2" s="1236" t="s">
        <v>582</v>
      </c>
      <c r="M2" s="1391"/>
      <c r="N2" s="1391"/>
      <c r="O2" s="1391"/>
      <c r="P2" s="1391"/>
      <c r="Q2" s="1392"/>
    </row>
    <row r="3" spans="2:17">
      <c r="B3" s="549" t="s">
        <v>121</v>
      </c>
      <c r="C3" s="522">
        <v>1</v>
      </c>
      <c r="D3" s="90">
        <v>2</v>
      </c>
      <c r="E3" s="90">
        <v>3</v>
      </c>
      <c r="F3" s="90">
        <v>4</v>
      </c>
      <c r="G3" s="90">
        <v>5</v>
      </c>
      <c r="H3" s="90">
        <v>6</v>
      </c>
      <c r="I3" s="90">
        <v>7</v>
      </c>
      <c r="J3" s="384">
        <v>8</v>
      </c>
      <c r="K3" s="221"/>
      <c r="L3" s="227"/>
      <c r="M3" s="482"/>
      <c r="N3" s="482"/>
      <c r="O3" s="482"/>
      <c r="P3" s="482"/>
      <c r="Q3" s="483"/>
    </row>
    <row r="4" spans="2:17" ht="24.75" customHeight="1">
      <c r="B4" s="550"/>
      <c r="C4" s="551" t="s">
        <v>238</v>
      </c>
      <c r="D4" s="90">
        <f>EC!I6</f>
        <v>0</v>
      </c>
      <c r="E4" s="551" t="s">
        <v>295</v>
      </c>
      <c r="F4" s="90">
        <f>EC!I7</f>
        <v>5</v>
      </c>
      <c r="G4" s="551" t="s">
        <v>296</v>
      </c>
      <c r="H4" s="90">
        <f>EC!I8</f>
        <v>16</v>
      </c>
      <c r="I4" s="551" t="s">
        <v>286</v>
      </c>
      <c r="J4" s="384">
        <f>EC!I9</f>
        <v>30</v>
      </c>
      <c r="K4" s="221"/>
      <c r="L4" s="486"/>
      <c r="M4" s="204"/>
      <c r="N4" s="204"/>
      <c r="O4" s="204"/>
      <c r="P4" s="204"/>
      <c r="Q4" s="463"/>
    </row>
    <row r="5" spans="2:17">
      <c r="B5" s="549" t="s">
        <v>126</v>
      </c>
      <c r="C5" s="1402" t="s">
        <v>127</v>
      </c>
      <c r="D5" s="1082"/>
      <c r="E5" s="552"/>
      <c r="F5" s="553"/>
      <c r="G5" s="1402" t="s">
        <v>128</v>
      </c>
      <c r="H5" s="1081"/>
      <c r="I5" s="1081"/>
      <c r="J5" s="1098"/>
      <c r="K5" s="221"/>
      <c r="L5" s="486"/>
      <c r="M5" s="204"/>
      <c r="N5" s="204"/>
      <c r="O5" s="204"/>
      <c r="P5" s="204"/>
      <c r="Q5" s="463"/>
    </row>
    <row r="6" spans="2:17" ht="15.75">
      <c r="B6" s="1396" t="s">
        <v>297</v>
      </c>
      <c r="C6" s="1397"/>
      <c r="D6" s="1397"/>
      <c r="E6" s="1397"/>
      <c r="F6" s="1397"/>
      <c r="G6" s="1397"/>
      <c r="H6" s="1397"/>
      <c r="I6" s="1397"/>
      <c r="J6" s="1398"/>
      <c r="K6" s="554"/>
      <c r="L6" s="486"/>
      <c r="M6" s="204"/>
      <c r="N6" s="204"/>
      <c r="O6" s="204"/>
      <c r="P6" s="204"/>
      <c r="Q6" s="463"/>
    </row>
    <row r="7" spans="2:17" ht="18" customHeight="1">
      <c r="B7" s="157">
        <v>1</v>
      </c>
      <c r="C7" s="555" t="s">
        <v>298</v>
      </c>
      <c r="D7" s="556"/>
      <c r="E7" s="276" t="s">
        <v>299</v>
      </c>
      <c r="F7" s="533"/>
      <c r="G7" s="184" t="s">
        <v>300</v>
      </c>
      <c r="H7" s="533">
        <v>1</v>
      </c>
      <c r="I7" s="190" t="s">
        <v>301</v>
      </c>
      <c r="J7" s="534"/>
      <c r="K7" s="218"/>
      <c r="L7" s="486"/>
      <c r="M7" s="204"/>
      <c r="N7" s="204"/>
      <c r="O7" s="204"/>
      <c r="P7" s="204"/>
      <c r="Q7" s="463"/>
    </row>
    <row r="8" spans="2:17" ht="15.75">
      <c r="B8" s="1396" t="s">
        <v>287</v>
      </c>
      <c r="C8" s="1397"/>
      <c r="D8" s="1397"/>
      <c r="E8" s="1397"/>
      <c r="F8" s="1397"/>
      <c r="G8" s="1397"/>
      <c r="H8" s="1397"/>
      <c r="I8" s="1397"/>
      <c r="J8" s="1398"/>
      <c r="K8" s="554"/>
      <c r="L8" s="486"/>
      <c r="M8" s="204"/>
      <c r="N8" s="204"/>
      <c r="O8" s="204"/>
      <c r="P8" s="204"/>
      <c r="Q8" s="463"/>
    </row>
    <row r="9" spans="2:17" ht="28.5" customHeight="1">
      <c r="B9" s="157">
        <v>2</v>
      </c>
      <c r="C9" s="555" t="s">
        <v>302</v>
      </c>
      <c r="D9" s="533"/>
      <c r="E9" s="276" t="s">
        <v>303</v>
      </c>
      <c r="F9" s="533"/>
      <c r="G9" s="184" t="s">
        <v>304</v>
      </c>
      <c r="H9" s="533">
        <v>1</v>
      </c>
      <c r="I9" s="190" t="s">
        <v>305</v>
      </c>
      <c r="J9" s="534"/>
      <c r="K9" s="218"/>
      <c r="L9" s="486"/>
      <c r="M9" s="204"/>
      <c r="N9" s="204"/>
      <c r="O9" s="204"/>
      <c r="P9" s="204"/>
      <c r="Q9" s="463"/>
    </row>
    <row r="10" spans="2:17" ht="15.75">
      <c r="B10" s="1396" t="s">
        <v>306</v>
      </c>
      <c r="C10" s="1397"/>
      <c r="D10" s="1397"/>
      <c r="E10" s="1397"/>
      <c r="F10" s="1397"/>
      <c r="G10" s="1397"/>
      <c r="H10" s="1397"/>
      <c r="I10" s="1397"/>
      <c r="J10" s="1398"/>
      <c r="K10" s="554"/>
      <c r="L10" s="486"/>
      <c r="M10" s="204"/>
      <c r="N10" s="204"/>
      <c r="O10" s="204"/>
      <c r="P10" s="204"/>
      <c r="Q10" s="463"/>
    </row>
    <row r="11" spans="2:17" ht="27" customHeight="1">
      <c r="B11" s="157">
        <v>3</v>
      </c>
      <c r="C11" s="555" t="s">
        <v>307</v>
      </c>
      <c r="D11" s="533"/>
      <c r="E11" s="557" t="s">
        <v>308</v>
      </c>
      <c r="F11" s="533"/>
      <c r="G11" s="557" t="s">
        <v>309</v>
      </c>
      <c r="H11" s="533">
        <v>1</v>
      </c>
      <c r="I11" s="528" t="s">
        <v>310</v>
      </c>
      <c r="J11" s="534"/>
      <c r="K11" s="218"/>
      <c r="L11" s="486"/>
      <c r="M11" s="204"/>
      <c r="N11" s="204"/>
      <c r="O11" s="204"/>
      <c r="P11" s="204"/>
      <c r="Q11" s="463"/>
    </row>
    <row r="12" spans="2:17" ht="15.75">
      <c r="B12" s="1396" t="s">
        <v>311</v>
      </c>
      <c r="C12" s="1397"/>
      <c r="D12" s="1397"/>
      <c r="E12" s="1397"/>
      <c r="F12" s="1397"/>
      <c r="G12" s="1397"/>
      <c r="H12" s="1397"/>
      <c r="I12" s="1397"/>
      <c r="J12" s="1398"/>
      <c r="K12" s="554"/>
      <c r="L12" s="486"/>
      <c r="M12" s="204"/>
      <c r="N12" s="204"/>
      <c r="O12" s="204"/>
      <c r="P12" s="204"/>
      <c r="Q12" s="463"/>
    </row>
    <row r="13" spans="2:17" ht="25.5">
      <c r="B13" s="157">
        <v>4</v>
      </c>
      <c r="C13" s="558" t="s">
        <v>312</v>
      </c>
      <c r="D13" s="533"/>
      <c r="E13" s="276" t="s">
        <v>313</v>
      </c>
      <c r="F13" s="533"/>
      <c r="G13" s="375" t="s">
        <v>314</v>
      </c>
      <c r="H13" s="533">
        <v>1</v>
      </c>
      <c r="I13" s="782" t="s">
        <v>705</v>
      </c>
      <c r="J13" s="534"/>
      <c r="K13" s="218"/>
      <c r="L13" s="486"/>
      <c r="M13" s="204"/>
      <c r="N13" s="204"/>
      <c r="O13" s="204"/>
      <c r="P13" s="204"/>
      <c r="Q13" s="463"/>
    </row>
    <row r="14" spans="2:17" ht="15.75">
      <c r="B14" s="1384"/>
      <c r="C14" s="1385"/>
      <c r="D14" s="1385"/>
      <c r="E14" s="1385"/>
      <c r="F14" s="1385"/>
      <c r="G14" s="1385"/>
      <c r="H14" s="1385"/>
      <c r="I14" s="1385"/>
      <c r="J14" s="1386"/>
      <c r="K14" s="815"/>
      <c r="L14" s="825"/>
      <c r="M14" s="826"/>
      <c r="N14" s="826"/>
      <c r="O14" s="826"/>
      <c r="P14" s="826"/>
      <c r="Q14" s="827"/>
    </row>
    <row r="15" spans="2:17" ht="25.5">
      <c r="B15" s="839">
        <v>5</v>
      </c>
      <c r="C15" s="190" t="s">
        <v>756</v>
      </c>
      <c r="D15" s="897"/>
      <c r="E15" s="528" t="s">
        <v>757</v>
      </c>
      <c r="F15" s="888"/>
      <c r="G15" s="190" t="s">
        <v>758</v>
      </c>
      <c r="H15" s="888">
        <v>1</v>
      </c>
      <c r="I15" s="190" t="s">
        <v>759</v>
      </c>
      <c r="J15" s="889"/>
      <c r="K15" s="815"/>
      <c r="L15" s="825"/>
      <c r="M15" s="826"/>
      <c r="N15" s="826"/>
      <c r="O15" s="826"/>
      <c r="P15" s="826"/>
      <c r="Q15" s="827"/>
    </row>
    <row r="16" spans="2:17" ht="15.75">
      <c r="B16" s="1400" t="s">
        <v>315</v>
      </c>
      <c r="C16" s="1397"/>
      <c r="D16" s="1397"/>
      <c r="E16" s="1397"/>
      <c r="F16" s="1397"/>
      <c r="G16" s="1397"/>
      <c r="H16" s="1397"/>
      <c r="I16" s="1397"/>
      <c r="J16" s="1398"/>
      <c r="K16" s="559"/>
      <c r="L16" s="486"/>
      <c r="M16" s="204"/>
      <c r="N16" s="204"/>
      <c r="O16" s="204"/>
      <c r="P16" s="204"/>
      <c r="Q16" s="463"/>
    </row>
    <row r="17" spans="2:10" ht="30" customHeight="1">
      <c r="B17" s="157">
        <v>6</v>
      </c>
      <c r="C17" s="558" t="s">
        <v>760</v>
      </c>
      <c r="D17" s="533"/>
      <c r="E17" s="276" t="s">
        <v>761</v>
      </c>
      <c r="F17" s="533"/>
      <c r="G17" s="190" t="s">
        <v>762</v>
      </c>
      <c r="H17" s="533">
        <v>1</v>
      </c>
      <c r="I17" s="190" t="s">
        <v>763</v>
      </c>
      <c r="J17" s="534"/>
    </row>
    <row r="18" spans="2:10">
      <c r="B18" s="1401" t="s">
        <v>294</v>
      </c>
      <c r="C18" s="1081"/>
      <c r="D18" s="1081"/>
      <c r="E18" s="1081"/>
      <c r="F18" s="1081"/>
      <c r="G18" s="1081"/>
      <c r="H18" s="1081"/>
      <c r="I18" s="1081"/>
      <c r="J18" s="1098"/>
    </row>
    <row r="19" spans="2:10" ht="72.599999999999994" customHeight="1" thickBot="1">
      <c r="B19" s="273">
        <v>7</v>
      </c>
      <c r="C19" s="184" t="s">
        <v>867</v>
      </c>
      <c r="D19" s="183"/>
      <c r="E19" s="184" t="s">
        <v>868</v>
      </c>
      <c r="F19" s="183"/>
      <c r="G19" s="184" t="s">
        <v>872</v>
      </c>
      <c r="H19" s="183"/>
      <c r="I19" s="543" t="s">
        <v>966</v>
      </c>
      <c r="J19" s="185">
        <v>1</v>
      </c>
    </row>
    <row r="20" spans="2:10" ht="55.5" customHeight="1" thickBot="1">
      <c r="B20" s="273">
        <v>8</v>
      </c>
      <c r="C20" s="184" t="s">
        <v>764</v>
      </c>
      <c r="D20" s="192"/>
      <c r="E20" s="190" t="s">
        <v>765</v>
      </c>
      <c r="F20" s="192"/>
      <c r="G20" s="184" t="s">
        <v>766</v>
      </c>
      <c r="H20" s="544"/>
      <c r="I20" s="895" t="s">
        <v>967</v>
      </c>
      <c r="J20" s="545"/>
    </row>
    <row r="21" spans="2:10" ht="19.5" customHeight="1" thickBot="1">
      <c r="B21" s="560"/>
      <c r="C21" s="345" t="s">
        <v>129</v>
      </c>
      <c r="D21" s="346">
        <f>SUM(D7:D20)</f>
        <v>0</v>
      </c>
      <c r="E21" s="347" t="s">
        <v>129</v>
      </c>
      <c r="F21" s="347">
        <f>SUM(F7:F20)</f>
        <v>0</v>
      </c>
      <c r="G21" s="347" t="s">
        <v>129</v>
      </c>
      <c r="H21" s="347">
        <f>SUM(H7:H20)</f>
        <v>6</v>
      </c>
      <c r="I21" s="475" t="s">
        <v>129</v>
      </c>
      <c r="J21" s="348">
        <f>SUM(J7:J20)</f>
        <v>1</v>
      </c>
    </row>
    <row r="22" spans="2:10" ht="12" customHeight="1">
      <c r="B22" s="226"/>
      <c r="C22" s="24"/>
      <c r="D22" s="223"/>
      <c r="E22" s="24"/>
      <c r="F22" s="223"/>
      <c r="G22" s="24"/>
      <c r="H22" s="223"/>
      <c r="I22" s="24"/>
      <c r="J22" s="223"/>
    </row>
    <row r="23" spans="2:10" ht="24.75" customHeight="1">
      <c r="B23" s="1137" t="s">
        <v>119</v>
      </c>
      <c r="C23" s="1111"/>
      <c r="D23" s="1111"/>
      <c r="E23" s="1111"/>
      <c r="F23" s="1111"/>
      <c r="G23" s="1111"/>
      <c r="H23" s="1138"/>
      <c r="I23" s="1234">
        <f>IF(J19=1,(D21*D4/7+F21*F4/7+H21*H4/7+J21*J4/7),(D21*D4/8+F21*F4/8+H21*H4/8+J21*J4/8))</f>
        <v>18</v>
      </c>
      <c r="J23" s="1138"/>
    </row>
    <row r="24" spans="2:10" ht="9.75" customHeight="1">
      <c r="B24" s="226"/>
      <c r="C24" s="24"/>
      <c r="D24" s="223"/>
      <c r="E24" s="24"/>
      <c r="F24" s="223"/>
      <c r="G24" s="24"/>
      <c r="H24" s="223"/>
      <c r="I24" s="32"/>
      <c r="J24" s="223"/>
    </row>
    <row r="25" spans="2:10" ht="24.75" customHeight="1">
      <c r="B25" s="1139" t="s">
        <v>120</v>
      </c>
      <c r="C25" s="1111"/>
      <c r="D25" s="1111"/>
      <c r="E25" s="1111"/>
      <c r="F25" s="1111"/>
      <c r="G25" s="1111"/>
      <c r="H25" s="1140"/>
      <c r="I25" s="1399">
        <f>I23</f>
        <v>18</v>
      </c>
      <c r="J25" s="1138"/>
    </row>
    <row r="26" spans="2:10" ht="9.75" customHeight="1" thickBot="1">
      <c r="B26" s="226"/>
      <c r="C26" s="24"/>
      <c r="D26" s="223"/>
      <c r="E26" s="24"/>
      <c r="F26" s="223"/>
      <c r="G26" s="24"/>
      <c r="H26" s="223"/>
      <c r="I26" s="24"/>
      <c r="J26" s="223"/>
    </row>
    <row r="27" spans="2:10" ht="15.75" customHeight="1">
      <c r="B27" s="1371" t="str">
        <f>IF(D7+F7+H7+J7&gt;1,"WARNING!  Too many options selected for Row 1"," ")</f>
        <v xml:space="preserve"> </v>
      </c>
      <c r="C27" s="1148"/>
      <c r="D27" s="1148"/>
      <c r="E27" s="1148"/>
      <c r="F27" s="1148"/>
      <c r="G27" s="1148"/>
      <c r="H27" s="1148"/>
      <c r="I27" s="1148"/>
      <c r="J27" s="899"/>
    </row>
    <row r="28" spans="2:10" ht="15.75" customHeight="1">
      <c r="B28" s="1387" t="str">
        <f>IF(D9+F9+H9+J9&gt;1,"WARNING!  Too many options selected for Row 2"," ")</f>
        <v xml:space="preserve"> </v>
      </c>
      <c r="C28" s="1142"/>
      <c r="D28" s="1142"/>
      <c r="E28" s="1142"/>
      <c r="F28" s="1142"/>
      <c r="G28" s="1142"/>
      <c r="H28" s="1142"/>
      <c r="I28" s="1142"/>
      <c r="J28" s="891"/>
    </row>
    <row r="29" spans="2:10" ht="15.75" customHeight="1">
      <c r="B29" s="1387" t="str">
        <f>IF(D11+F11+H11+J11&gt;1,"WARNING!  Too many options selected for Row 3"," ")</f>
        <v xml:space="preserve"> </v>
      </c>
      <c r="C29" s="1142"/>
      <c r="D29" s="1142"/>
      <c r="E29" s="1142"/>
      <c r="F29" s="1142"/>
      <c r="G29" s="1142"/>
      <c r="H29" s="1142"/>
      <c r="I29" s="1142"/>
      <c r="J29" s="891"/>
    </row>
    <row r="30" spans="2:10" ht="15.75" customHeight="1">
      <c r="B30" s="1387" t="str">
        <f>IF(D13+F13+H13+J13&gt;1,"WARNING!  Too many options selected for Row 4"," ")</f>
        <v xml:space="preserve"> </v>
      </c>
      <c r="C30" s="1142"/>
      <c r="D30" s="1142"/>
      <c r="E30" s="1142"/>
      <c r="F30" s="1142"/>
      <c r="G30" s="1142"/>
      <c r="H30" s="1142"/>
      <c r="I30" s="1142"/>
      <c r="J30" s="891"/>
    </row>
    <row r="31" spans="2:10" ht="15.75" customHeight="1">
      <c r="B31" s="1387" t="str">
        <f>IF(D15+F15+H15+J15&gt;1,"WARNING!  Too many options selected for Row 5"," ")</f>
        <v xml:space="preserve"> </v>
      </c>
      <c r="C31" s="1142"/>
      <c r="D31" s="1142"/>
      <c r="E31" s="1142"/>
      <c r="F31" s="1142"/>
      <c r="G31" s="1142"/>
      <c r="H31" s="1142"/>
      <c r="I31" s="1142"/>
      <c r="J31" s="891"/>
    </row>
    <row r="32" spans="2:10" ht="15.75" customHeight="1">
      <c r="B32" s="1387" t="str">
        <f>IF(D17+F17+H17+J17&gt;1,"WARNING!  Too many options selected for Row 6"," ")</f>
        <v xml:space="preserve"> </v>
      </c>
      <c r="C32" s="1142"/>
      <c r="D32" s="1142"/>
      <c r="E32" s="1142"/>
      <c r="F32" s="1142"/>
      <c r="G32" s="1142"/>
      <c r="H32" s="1142"/>
      <c r="I32" s="1142"/>
      <c r="J32" s="891"/>
    </row>
    <row r="33" spans="2:9" ht="15.75" customHeight="1">
      <c r="B33" s="1387" t="str">
        <f>IF(D19+F19+H19+J19&gt;1,"WARNING!  Too many options selected for Row 7"," ")</f>
        <v xml:space="preserve"> </v>
      </c>
      <c r="C33" s="1142"/>
      <c r="D33" s="1142"/>
      <c r="E33" s="1142"/>
      <c r="F33" s="1142"/>
      <c r="G33" s="1142"/>
      <c r="H33" s="1142"/>
      <c r="I33" s="1142"/>
    </row>
    <row r="34" spans="2:9" ht="15.75" customHeight="1" thickBot="1">
      <c r="B34" s="1363" t="str">
        <f>IF(D20+F20+H20+J20&gt;1,"WARNING!  Too many options selected for Row 8"," ")</f>
        <v xml:space="preserve"> </v>
      </c>
      <c r="C34" s="1145"/>
      <c r="D34" s="1145"/>
      <c r="E34" s="1145"/>
      <c r="F34" s="1145"/>
      <c r="G34" s="1145"/>
      <c r="H34" s="1145"/>
      <c r="I34" s="1145"/>
    </row>
  </sheetData>
  <mergeCells count="23">
    <mergeCell ref="B25:H25"/>
    <mergeCell ref="B2:J2"/>
    <mergeCell ref="L2:Q2"/>
    <mergeCell ref="C5:D5"/>
    <mergeCell ref="G5:J5"/>
    <mergeCell ref="B6:J6"/>
    <mergeCell ref="B14:J14"/>
    <mergeCell ref="B34:I34"/>
    <mergeCell ref="B27:I27"/>
    <mergeCell ref="B8:J8"/>
    <mergeCell ref="B10:J10"/>
    <mergeCell ref="I25:J25"/>
    <mergeCell ref="B28:I28"/>
    <mergeCell ref="B29:I29"/>
    <mergeCell ref="B30:I30"/>
    <mergeCell ref="B31:I31"/>
    <mergeCell ref="B32:I32"/>
    <mergeCell ref="B33:I33"/>
    <mergeCell ref="B12:J12"/>
    <mergeCell ref="B16:J16"/>
    <mergeCell ref="B18:J18"/>
    <mergeCell ref="B23:H23"/>
    <mergeCell ref="I23:J23"/>
  </mergeCells>
  <pageMargins left="0.70866141732283472" right="0.70866141732283472" top="0.74803149606299213" bottom="0.74803149606299213" header="0" footer="0"/>
  <pageSetup paperSize="5" scale="3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7F986"/>
    <pageSetUpPr fitToPage="1"/>
  </sheetPr>
  <dimension ref="B2:Q59"/>
  <sheetViews>
    <sheetView topLeftCell="D25" zoomScale="115" zoomScaleNormal="115" workbookViewId="0">
      <selection activeCell="I34" sqref="I34"/>
    </sheetView>
  </sheetViews>
  <sheetFormatPr defaultColWidth="14.42578125" defaultRowHeight="15" customHeight="1"/>
  <cols>
    <col min="1" max="1" width="5.85546875" customWidth="1"/>
    <col min="2" max="2" width="9.5703125" customWidth="1"/>
    <col min="3" max="3" width="31.85546875" customWidth="1"/>
    <col min="4" max="4" width="4.85546875" customWidth="1"/>
    <col min="5" max="5" width="36.140625" customWidth="1"/>
    <col min="6" max="6" width="4.85546875" customWidth="1"/>
    <col min="7" max="7" width="35.140625" customWidth="1"/>
    <col min="8" max="8" width="4.85546875" customWidth="1"/>
    <col min="9" max="9" width="38" customWidth="1"/>
    <col min="10" max="10" width="4.85546875" customWidth="1"/>
    <col min="11" max="11" width="3" customWidth="1"/>
    <col min="12" max="12" width="9.140625" customWidth="1"/>
    <col min="13" max="13" width="25.85546875" customWidth="1"/>
    <col min="14" max="26" width="9.140625" customWidth="1"/>
  </cols>
  <sheetData>
    <row r="2" spans="2:17" ht="21" customHeight="1">
      <c r="B2" s="1390" t="s">
        <v>316</v>
      </c>
      <c r="C2" s="1018"/>
      <c r="D2" s="1018"/>
      <c r="E2" s="1018"/>
      <c r="F2" s="1018"/>
      <c r="G2" s="1018"/>
      <c r="H2" s="1018"/>
      <c r="I2" s="1018"/>
      <c r="J2" s="1023"/>
      <c r="K2" s="1"/>
      <c r="L2" s="1236" t="s">
        <v>582</v>
      </c>
      <c r="M2" s="1391"/>
      <c r="N2" s="1391"/>
      <c r="O2" s="1391"/>
      <c r="P2" s="1391"/>
      <c r="Q2" s="1392"/>
    </row>
    <row r="3" spans="2:17">
      <c r="B3" s="564" t="s">
        <v>121</v>
      </c>
      <c r="C3" s="522">
        <v>1</v>
      </c>
      <c r="D3" s="90">
        <v>2</v>
      </c>
      <c r="E3" s="90">
        <v>3</v>
      </c>
      <c r="F3" s="90">
        <v>4</v>
      </c>
      <c r="G3" s="90">
        <v>5</v>
      </c>
      <c r="H3" s="90">
        <v>6</v>
      </c>
      <c r="I3" s="90">
        <v>7</v>
      </c>
      <c r="J3" s="384">
        <v>8</v>
      </c>
      <c r="K3" s="60"/>
      <c r="L3" s="565"/>
      <c r="M3" s="566"/>
      <c r="N3" s="566"/>
      <c r="O3" s="566"/>
      <c r="P3" s="566"/>
      <c r="Q3" s="567"/>
    </row>
    <row r="4" spans="2:17" ht="36.75" customHeight="1">
      <c r="B4" s="521"/>
      <c r="C4" s="174" t="s">
        <v>238</v>
      </c>
      <c r="D4" s="175">
        <f>EC!I12</f>
        <v>0</v>
      </c>
      <c r="E4" s="176" t="s">
        <v>317</v>
      </c>
      <c r="F4" s="175">
        <f>EC!I13</f>
        <v>5</v>
      </c>
      <c r="G4" s="176" t="s">
        <v>296</v>
      </c>
      <c r="H4" s="175">
        <f>EC!I14</f>
        <v>17</v>
      </c>
      <c r="I4" s="176" t="s">
        <v>286</v>
      </c>
      <c r="J4" s="177">
        <f>EC!I15</f>
        <v>37</v>
      </c>
      <c r="K4" s="1"/>
      <c r="L4" s="488"/>
      <c r="M4" s="138"/>
      <c r="N4" s="138"/>
      <c r="O4" s="138"/>
      <c r="P4" s="138"/>
      <c r="Q4" s="465"/>
    </row>
    <row r="5" spans="2:17" ht="36" customHeight="1">
      <c r="B5" s="564" t="s">
        <v>126</v>
      </c>
      <c r="C5" s="1135" t="s">
        <v>127</v>
      </c>
      <c r="D5" s="1082"/>
      <c r="E5" s="1135" t="s">
        <v>128</v>
      </c>
      <c r="F5" s="1081"/>
      <c r="G5" s="1081"/>
      <c r="H5" s="1081"/>
      <c r="I5" s="1081"/>
      <c r="J5" s="1098"/>
      <c r="K5" s="457" t="s">
        <v>101</v>
      </c>
      <c r="L5" s="486"/>
      <c r="M5" s="204"/>
      <c r="N5" s="204"/>
      <c r="O5" s="204"/>
      <c r="P5" s="204"/>
      <c r="Q5" s="463"/>
    </row>
    <row r="6" spans="2:17">
      <c r="B6" s="1401" t="s">
        <v>287</v>
      </c>
      <c r="C6" s="1252"/>
      <c r="D6" s="1081"/>
      <c r="E6" s="1081"/>
      <c r="F6" s="1081"/>
      <c r="G6" s="1081"/>
      <c r="H6" s="1081"/>
      <c r="I6" s="1081"/>
      <c r="J6" s="1098"/>
      <c r="K6" s="10"/>
      <c r="L6" s="486"/>
      <c r="M6" s="204"/>
      <c r="N6" s="204"/>
      <c r="O6" s="204"/>
      <c r="P6" s="204"/>
      <c r="Q6" s="463"/>
    </row>
    <row r="7" spans="2:17" ht="29.25" customHeight="1" thickBot="1">
      <c r="B7" s="839">
        <v>1</v>
      </c>
      <c r="C7" s="782" t="s">
        <v>588</v>
      </c>
      <c r="D7" s="183"/>
      <c r="E7" s="829" t="s">
        <v>591</v>
      </c>
      <c r="F7" s="183"/>
      <c r="G7" s="830" t="s">
        <v>593</v>
      </c>
      <c r="H7" s="183">
        <v>1</v>
      </c>
      <c r="I7" s="830" t="s">
        <v>595</v>
      </c>
      <c r="J7" s="185"/>
      <c r="K7" s="487"/>
      <c r="L7" s="486"/>
      <c r="M7" s="204"/>
      <c r="N7" s="204"/>
      <c r="O7" s="204"/>
      <c r="P7" s="204"/>
      <c r="Q7" s="463"/>
    </row>
    <row r="8" spans="2:17" ht="20.25" customHeight="1" thickBot="1">
      <c r="B8" s="839">
        <v>2</v>
      </c>
      <c r="C8" s="782" t="s">
        <v>589</v>
      </c>
      <c r="D8" s="188"/>
      <c r="E8" s="829" t="s">
        <v>590</v>
      </c>
      <c r="F8" s="188"/>
      <c r="G8" s="830" t="s">
        <v>592</v>
      </c>
      <c r="H8" s="188">
        <v>1</v>
      </c>
      <c r="I8" s="830" t="s">
        <v>594</v>
      </c>
      <c r="J8" s="189"/>
      <c r="K8" s="1"/>
      <c r="L8" s="486"/>
      <c r="M8" s="204"/>
      <c r="N8" s="204"/>
      <c r="O8" s="204"/>
      <c r="P8" s="204"/>
      <c r="Q8" s="463"/>
    </row>
    <row r="9" spans="2:17">
      <c r="B9" s="1401" t="s">
        <v>318</v>
      </c>
      <c r="C9" s="1255"/>
      <c r="D9" s="1081"/>
      <c r="E9" s="1081"/>
      <c r="F9" s="1081"/>
      <c r="G9" s="1081"/>
      <c r="H9" s="1081"/>
      <c r="I9" s="1081"/>
      <c r="J9" s="1098"/>
      <c r="K9" s="226"/>
      <c r="L9" s="486"/>
      <c r="M9" s="204"/>
      <c r="N9" s="204"/>
      <c r="O9" s="204"/>
      <c r="P9" s="204"/>
      <c r="Q9" s="463"/>
    </row>
    <row r="10" spans="2:17" ht="15" customHeight="1">
      <c r="B10" s="273">
        <v>3</v>
      </c>
      <c r="C10" s="901" t="s">
        <v>767</v>
      </c>
      <c r="D10" s="864"/>
      <c r="E10" s="276" t="s">
        <v>768</v>
      </c>
      <c r="F10" s="533">
        <v>1</v>
      </c>
      <c r="G10" s="184" t="s">
        <v>728</v>
      </c>
      <c r="H10" s="533"/>
      <c r="I10" s="190" t="s">
        <v>727</v>
      </c>
      <c r="J10" s="534"/>
      <c r="K10" s="24"/>
      <c r="L10" s="486"/>
      <c r="M10" s="204"/>
      <c r="N10" s="204"/>
      <c r="O10" s="204"/>
      <c r="P10" s="204"/>
      <c r="Q10" s="463"/>
    </row>
    <row r="11" spans="2:17">
      <c r="B11" s="1401" t="s">
        <v>726</v>
      </c>
      <c r="C11" s="1252"/>
      <c r="D11" s="1081"/>
      <c r="E11" s="1252"/>
      <c r="F11" s="1081"/>
      <c r="G11" s="1081"/>
      <c r="H11" s="1081"/>
      <c r="I11" s="1081"/>
      <c r="J11" s="1098"/>
      <c r="K11" s="496"/>
      <c r="L11" s="486"/>
      <c r="M11" s="204"/>
      <c r="N11" s="204"/>
      <c r="O11" s="204"/>
      <c r="P11" s="204"/>
      <c r="Q11" s="463"/>
    </row>
    <row r="12" spans="2:17" ht="15" customHeight="1">
      <c r="B12" s="839">
        <v>4</v>
      </c>
      <c r="C12" s="190" t="s">
        <v>733</v>
      </c>
      <c r="D12" s="900"/>
      <c r="E12" s="528" t="s">
        <v>732</v>
      </c>
      <c r="F12" s="888">
        <v>1</v>
      </c>
      <c r="G12" s="190" t="s">
        <v>731</v>
      </c>
      <c r="H12" s="888"/>
      <c r="I12" s="190" t="s">
        <v>730</v>
      </c>
      <c r="J12" s="889"/>
      <c r="K12" s="472"/>
      <c r="L12" s="486"/>
      <c r="M12" s="204"/>
      <c r="N12" s="204"/>
      <c r="O12" s="204"/>
      <c r="P12" s="204"/>
      <c r="Q12" s="463"/>
    </row>
    <row r="13" spans="2:17">
      <c r="B13" s="1401" t="s">
        <v>319</v>
      </c>
      <c r="C13" s="1252"/>
      <c r="D13" s="1081"/>
      <c r="E13" s="1252"/>
      <c r="F13" s="1081"/>
      <c r="G13" s="1081"/>
      <c r="H13" s="1081"/>
      <c r="I13" s="1081"/>
      <c r="J13" s="1098"/>
      <c r="K13" s="472"/>
      <c r="L13" s="486"/>
      <c r="M13" s="204"/>
      <c r="N13" s="204"/>
      <c r="O13" s="204"/>
      <c r="P13" s="204"/>
      <c r="Q13" s="463"/>
    </row>
    <row r="14" spans="2:17" ht="27" customHeight="1" thickBot="1">
      <c r="B14" s="839">
        <v>5</v>
      </c>
      <c r="C14" s="845" t="s">
        <v>680</v>
      </c>
      <c r="D14" s="183"/>
      <c r="E14" s="829" t="s">
        <v>682</v>
      </c>
      <c r="F14" s="183"/>
      <c r="G14" s="829" t="s">
        <v>683</v>
      </c>
      <c r="H14" s="183">
        <v>1</v>
      </c>
      <c r="I14" s="829" t="s">
        <v>679</v>
      </c>
      <c r="J14" s="185"/>
      <c r="K14" s="1"/>
      <c r="L14" s="486"/>
      <c r="M14" s="204"/>
      <c r="N14" s="204"/>
      <c r="O14" s="204"/>
      <c r="P14" s="204"/>
      <c r="Q14" s="463"/>
    </row>
    <row r="15" spans="2:17" ht="30" customHeight="1" thickBot="1">
      <c r="B15" s="839">
        <v>6</v>
      </c>
      <c r="C15" s="845" t="s">
        <v>681</v>
      </c>
      <c r="D15" s="188"/>
      <c r="E15" s="845" t="s">
        <v>684</v>
      </c>
      <c r="F15" s="188">
        <v>1</v>
      </c>
      <c r="G15" s="836" t="s">
        <v>685</v>
      </c>
      <c r="H15" s="188"/>
      <c r="I15" s="836" t="s">
        <v>688</v>
      </c>
      <c r="J15" s="189"/>
      <c r="K15" s="1"/>
      <c r="L15" s="486"/>
      <c r="M15" s="204"/>
      <c r="N15" s="204"/>
      <c r="O15" s="204"/>
      <c r="P15" s="204"/>
      <c r="Q15" s="463"/>
    </row>
    <row r="16" spans="2:17" ht="25.5">
      <c r="B16" s="839">
        <v>7</v>
      </c>
      <c r="C16" s="836" t="s">
        <v>686</v>
      </c>
      <c r="D16" s="192"/>
      <c r="E16" s="276" t="s">
        <v>796</v>
      </c>
      <c r="F16" s="192"/>
      <c r="G16" s="836" t="s">
        <v>687</v>
      </c>
      <c r="H16" s="192">
        <v>1</v>
      </c>
      <c r="I16" s="836" t="s">
        <v>689</v>
      </c>
      <c r="J16" s="531"/>
      <c r="K16" s="1"/>
      <c r="L16" s="486"/>
      <c r="M16" s="204"/>
      <c r="N16" s="204"/>
      <c r="O16" s="204"/>
      <c r="P16" s="204"/>
      <c r="Q16" s="463"/>
    </row>
    <row r="17" spans="2:17">
      <c r="B17" s="1401" t="s">
        <v>290</v>
      </c>
      <c r="C17" s="1255"/>
      <c r="D17" s="1081"/>
      <c r="E17" s="1255"/>
      <c r="F17" s="1081"/>
      <c r="G17" s="1081"/>
      <c r="H17" s="1081"/>
      <c r="I17" s="1081"/>
      <c r="J17" s="1098"/>
      <c r="K17" s="1"/>
      <c r="L17" s="486"/>
      <c r="M17" s="204"/>
      <c r="N17" s="204"/>
      <c r="O17" s="204"/>
      <c r="P17" s="204"/>
      <c r="Q17" s="463"/>
    </row>
    <row r="18" spans="2:17" ht="26.25" thickBot="1">
      <c r="B18" s="273">
        <v>8</v>
      </c>
      <c r="C18" s="535" t="s">
        <v>786</v>
      </c>
      <c r="D18" s="909"/>
      <c r="E18" s="276" t="s">
        <v>797</v>
      </c>
      <c r="F18" s="183">
        <v>1</v>
      </c>
      <c r="G18" s="528" t="s">
        <v>320</v>
      </c>
      <c r="H18" s="533"/>
      <c r="I18" s="834" t="s">
        <v>690</v>
      </c>
      <c r="J18" s="534"/>
      <c r="K18" s="1"/>
      <c r="L18" s="486"/>
      <c r="M18" s="204"/>
      <c r="N18" s="204"/>
      <c r="O18" s="204"/>
      <c r="P18" s="204"/>
      <c r="Q18" s="463"/>
    </row>
    <row r="19" spans="2:17">
      <c r="B19" s="1381" t="s">
        <v>291</v>
      </c>
      <c r="C19" s="1086"/>
      <c r="D19" s="1086"/>
      <c r="E19" s="1086"/>
      <c r="F19" s="1086"/>
      <c r="G19" s="1086"/>
      <c r="H19" s="1086"/>
      <c r="I19" s="1086"/>
      <c r="J19" s="1087"/>
      <c r="K19" s="1"/>
      <c r="L19" s="486"/>
      <c r="M19" s="204"/>
      <c r="N19" s="204"/>
      <c r="O19" s="204"/>
      <c r="P19" s="204"/>
      <c r="Q19" s="463"/>
    </row>
    <row r="20" spans="2:17" ht="26.25" thickBot="1">
      <c r="B20" s="273">
        <v>9</v>
      </c>
      <c r="C20" s="892" t="s">
        <v>787</v>
      </c>
      <c r="D20" s="183"/>
      <c r="E20" s="190" t="s">
        <v>798</v>
      </c>
      <c r="F20" s="183">
        <v>1</v>
      </c>
      <c r="G20" s="184" t="s">
        <v>807</v>
      </c>
      <c r="H20" s="183"/>
      <c r="I20" s="184" t="s">
        <v>822</v>
      </c>
      <c r="J20" s="185"/>
      <c r="K20" s="1"/>
      <c r="L20" s="486"/>
      <c r="M20" s="204"/>
      <c r="N20" s="204"/>
      <c r="O20" s="204"/>
      <c r="P20" s="204"/>
      <c r="Q20" s="463"/>
    </row>
    <row r="21" spans="2:17" ht="29.25" customHeight="1" thickBot="1">
      <c r="B21" s="273">
        <v>10</v>
      </c>
      <c r="C21" s="892" t="s">
        <v>788</v>
      </c>
      <c r="D21" s="193"/>
      <c r="E21" s="280" t="s">
        <v>799</v>
      </c>
      <c r="F21" s="193"/>
      <c r="G21" s="529" t="s">
        <v>808</v>
      </c>
      <c r="H21" s="188">
        <v>1</v>
      </c>
      <c r="I21" s="529" t="s">
        <v>821</v>
      </c>
      <c r="J21" s="189"/>
      <c r="K21" s="58"/>
      <c r="L21" s="484"/>
      <c r="M21" s="1"/>
      <c r="N21" s="1"/>
      <c r="O21" s="1"/>
      <c r="P21" s="1"/>
      <c r="Q21" s="308"/>
    </row>
    <row r="22" spans="2:17" ht="26.25" thickBot="1">
      <c r="B22" s="273">
        <v>11</v>
      </c>
      <c r="C22" s="893" t="s">
        <v>789</v>
      </c>
      <c r="D22" s="188"/>
      <c r="E22" s="894" t="s">
        <v>800</v>
      </c>
      <c r="F22" s="188"/>
      <c r="G22" s="184" t="s">
        <v>809</v>
      </c>
      <c r="H22" s="188">
        <v>1</v>
      </c>
      <c r="I22" s="184" t="s">
        <v>820</v>
      </c>
      <c r="J22" s="189"/>
      <c r="K22" s="1"/>
      <c r="L22" s="484"/>
      <c r="M22" s="1"/>
      <c r="N22" s="1"/>
      <c r="O22" s="1"/>
      <c r="P22" s="1"/>
      <c r="Q22" s="308"/>
    </row>
    <row r="23" spans="2:17" ht="15.75" customHeight="1">
      <c r="B23" s="273">
        <v>12</v>
      </c>
      <c r="C23" s="190" t="s">
        <v>790</v>
      </c>
      <c r="D23" s="538"/>
      <c r="E23" s="190" t="s">
        <v>801</v>
      </c>
      <c r="F23" s="538"/>
      <c r="G23" s="184" t="s">
        <v>810</v>
      </c>
      <c r="H23" s="192">
        <v>1</v>
      </c>
      <c r="I23" s="184" t="s">
        <v>819</v>
      </c>
      <c r="J23" s="531"/>
      <c r="K23" s="58"/>
      <c r="L23" s="484"/>
      <c r="M23" s="1"/>
      <c r="N23" s="1"/>
      <c r="O23" s="1"/>
      <c r="P23" s="1"/>
      <c r="Q23" s="308"/>
    </row>
    <row r="24" spans="2:17">
      <c r="B24" s="1403" t="s">
        <v>605</v>
      </c>
      <c r="C24" s="1081"/>
      <c r="D24" s="1081"/>
      <c r="E24" s="1081"/>
      <c r="F24" s="1081"/>
      <c r="G24" s="1081"/>
      <c r="H24" s="1081"/>
      <c r="I24" s="1081"/>
      <c r="J24" s="1098"/>
      <c r="K24" s="24"/>
      <c r="L24" s="484"/>
      <c r="M24" s="1"/>
      <c r="N24" s="1"/>
      <c r="O24" s="1"/>
      <c r="P24" s="1"/>
      <c r="Q24" s="308"/>
    </row>
    <row r="25" spans="2:17" ht="39" thickBot="1">
      <c r="B25" s="273">
        <v>13</v>
      </c>
      <c r="C25" s="902" t="s">
        <v>791</v>
      </c>
      <c r="D25" s="183"/>
      <c r="E25" s="906" t="s">
        <v>802</v>
      </c>
      <c r="F25" s="183"/>
      <c r="G25" s="190" t="s">
        <v>811</v>
      </c>
      <c r="H25" s="183"/>
      <c r="I25" s="190" t="s">
        <v>818</v>
      </c>
      <c r="J25" s="185">
        <v>1</v>
      </c>
      <c r="K25" s="24"/>
      <c r="L25" s="484"/>
      <c r="M25" s="1"/>
      <c r="N25" s="1"/>
      <c r="O25" s="1"/>
      <c r="P25" s="1"/>
      <c r="Q25" s="308"/>
    </row>
    <row r="26" spans="2:17" ht="39" thickBot="1">
      <c r="B26" s="273">
        <v>14</v>
      </c>
      <c r="C26" s="903" t="s">
        <v>792</v>
      </c>
      <c r="D26" s="188"/>
      <c r="E26" s="903" t="s">
        <v>803</v>
      </c>
      <c r="F26" s="188"/>
      <c r="G26" s="903" t="s">
        <v>812</v>
      </c>
      <c r="H26" s="188"/>
      <c r="I26" s="903" t="s">
        <v>817</v>
      </c>
      <c r="J26" s="189">
        <v>1</v>
      </c>
      <c r="K26" s="24"/>
      <c r="L26" s="484"/>
      <c r="M26" s="1"/>
      <c r="N26" s="1"/>
      <c r="O26" s="1"/>
      <c r="P26" s="1"/>
      <c r="Q26" s="308"/>
    </row>
    <row r="27" spans="2:17" ht="25.5">
      <c r="B27" s="273">
        <v>15</v>
      </c>
      <c r="C27" s="904" t="s">
        <v>793</v>
      </c>
      <c r="D27" s="192"/>
      <c r="E27" s="907" t="s">
        <v>804</v>
      </c>
      <c r="F27" s="192"/>
      <c r="G27" s="184" t="s">
        <v>813</v>
      </c>
      <c r="H27" s="192">
        <v>1</v>
      </c>
      <c r="I27" s="184" t="s">
        <v>816</v>
      </c>
      <c r="J27" s="531"/>
      <c r="K27" s="24"/>
      <c r="L27" s="484"/>
      <c r="M27" s="1"/>
      <c r="N27" s="1"/>
      <c r="O27" s="1"/>
      <c r="P27" s="1"/>
      <c r="Q27" s="308"/>
    </row>
    <row r="28" spans="2:17">
      <c r="B28" s="1404" t="s">
        <v>882</v>
      </c>
      <c r="C28" s="1252"/>
      <c r="D28" s="1252"/>
      <c r="E28" s="1252"/>
      <c r="F28" s="1081"/>
      <c r="G28" s="1081"/>
      <c r="H28" s="1081"/>
      <c r="I28" s="1081"/>
      <c r="J28" s="1098"/>
      <c r="K28" s="24"/>
      <c r="L28" s="484"/>
      <c r="M28" s="1"/>
      <c r="N28" s="1"/>
      <c r="O28" s="1"/>
      <c r="P28" s="1"/>
      <c r="Q28" s="308"/>
    </row>
    <row r="29" spans="2:17" ht="51.75" thickBot="1">
      <c r="B29" s="839">
        <v>16</v>
      </c>
      <c r="C29" s="905" t="s">
        <v>794</v>
      </c>
      <c r="D29" s="183"/>
      <c r="E29" s="908" t="s">
        <v>805</v>
      </c>
      <c r="F29" s="183"/>
      <c r="G29" s="190" t="s">
        <v>883</v>
      </c>
      <c r="H29" s="183"/>
      <c r="I29" s="190" t="s">
        <v>815</v>
      </c>
      <c r="J29" s="185"/>
      <c r="K29" s="24"/>
      <c r="L29" s="484"/>
      <c r="M29" s="1"/>
      <c r="N29" s="1"/>
      <c r="O29" s="1"/>
      <c r="P29" s="1"/>
      <c r="Q29" s="308"/>
    </row>
    <row r="30" spans="2:17">
      <c r="B30" s="1401" t="s">
        <v>293</v>
      </c>
      <c r="C30" s="1255"/>
      <c r="D30" s="1255"/>
      <c r="E30" s="1255"/>
      <c r="F30" s="1081"/>
      <c r="G30" s="1081"/>
      <c r="H30" s="1081"/>
      <c r="I30" s="1081"/>
      <c r="J30" s="1098"/>
      <c r="K30" s="1"/>
      <c r="L30" s="484"/>
      <c r="M30" s="1"/>
      <c r="N30" s="1"/>
      <c r="O30" s="1"/>
      <c r="P30" s="1"/>
      <c r="Q30" s="308"/>
    </row>
    <row r="31" spans="2:17" ht="26.25" thickBot="1">
      <c r="B31" s="273">
        <v>17</v>
      </c>
      <c r="C31" s="184" t="s">
        <v>782</v>
      </c>
      <c r="D31" s="533"/>
      <c r="E31" s="184" t="s">
        <v>783</v>
      </c>
      <c r="F31" s="533"/>
      <c r="G31" s="184" t="s">
        <v>784</v>
      </c>
      <c r="H31" s="541">
        <v>1</v>
      </c>
      <c r="I31" s="638" t="s">
        <v>785</v>
      </c>
      <c r="J31" s="534"/>
      <c r="K31" s="1"/>
      <c r="L31" s="484"/>
      <c r="M31" s="1"/>
      <c r="N31" s="1"/>
      <c r="O31" s="1"/>
      <c r="P31" s="1"/>
      <c r="Q31" s="308"/>
    </row>
    <row r="32" spans="2:17">
      <c r="B32" s="1401" t="s">
        <v>294</v>
      </c>
      <c r="C32" s="1081"/>
      <c r="D32" s="1081"/>
      <c r="E32" s="1081"/>
      <c r="F32" s="1081"/>
      <c r="G32" s="1081"/>
      <c r="H32" s="1081"/>
      <c r="I32" s="1081"/>
      <c r="J32" s="1098"/>
      <c r="K32" s="1"/>
      <c r="L32" s="484"/>
      <c r="M32" s="1"/>
      <c r="N32" s="1"/>
      <c r="O32" s="1"/>
      <c r="P32" s="1"/>
      <c r="Q32" s="308"/>
    </row>
    <row r="33" spans="2:17" ht="74.099999999999994" customHeight="1" thickBot="1">
      <c r="B33" s="273">
        <v>18</v>
      </c>
      <c r="C33" s="184" t="s">
        <v>873</v>
      </c>
      <c r="D33" s="183"/>
      <c r="E33" s="184" t="s">
        <v>874</v>
      </c>
      <c r="F33" s="183"/>
      <c r="G33" s="184" t="s">
        <v>875</v>
      </c>
      <c r="H33" s="183">
        <v>1</v>
      </c>
      <c r="I33" s="543" t="s">
        <v>970</v>
      </c>
      <c r="J33" s="185"/>
      <c r="K33" s="569"/>
      <c r="L33" s="570"/>
      <c r="M33" s="569"/>
      <c r="N33" s="569"/>
      <c r="O33" s="569"/>
      <c r="P33" s="569"/>
      <c r="Q33" s="571"/>
    </row>
    <row r="34" spans="2:17" ht="39" thickBot="1">
      <c r="B34" s="273">
        <v>19</v>
      </c>
      <c r="C34" s="184" t="s">
        <v>795</v>
      </c>
      <c r="D34" s="192"/>
      <c r="E34" s="280" t="s">
        <v>806</v>
      </c>
      <c r="F34" s="192"/>
      <c r="G34" s="184" t="s">
        <v>814</v>
      </c>
      <c r="H34" s="544">
        <v>1</v>
      </c>
      <c r="I34" s="895" t="s">
        <v>967</v>
      </c>
      <c r="J34" s="545"/>
      <c r="K34" s="1"/>
      <c r="L34" s="484"/>
      <c r="M34" s="1"/>
      <c r="N34" s="1"/>
      <c r="O34" s="1"/>
      <c r="P34" s="1"/>
      <c r="Q34" s="308"/>
    </row>
    <row r="35" spans="2:17" ht="15.75" thickBot="1">
      <c r="B35" s="273"/>
      <c r="C35" s="572"/>
      <c r="D35" s="347">
        <f>SUM(D7:D34)</f>
        <v>0</v>
      </c>
      <c r="E35" s="347" t="s">
        <v>129</v>
      </c>
      <c r="F35" s="347">
        <f>SUM(F7:F34)</f>
        <v>5</v>
      </c>
      <c r="G35" s="347" t="s">
        <v>129</v>
      </c>
      <c r="H35" s="347">
        <f>SUM(H7:H34)</f>
        <v>11</v>
      </c>
      <c r="I35" s="347" t="s">
        <v>129</v>
      </c>
      <c r="J35" s="347">
        <f>SUM(J7:J34)</f>
        <v>2</v>
      </c>
      <c r="K35" s="1"/>
      <c r="L35" s="520"/>
      <c r="M35" s="477"/>
      <c r="N35" s="477"/>
      <c r="O35" s="477"/>
      <c r="P35" s="477"/>
      <c r="Q35" s="478"/>
    </row>
    <row r="36" spans="2:17" ht="7.35" customHeight="1" thickBot="1">
      <c r="B36" s="573"/>
      <c r="C36" s="123"/>
      <c r="D36" s="22"/>
      <c r="E36" s="123"/>
      <c r="F36" s="574"/>
      <c r="G36" s="123"/>
      <c r="H36" s="574"/>
      <c r="I36" s="123"/>
      <c r="J36" s="574"/>
      <c r="K36" s="1"/>
      <c r="L36" s="1"/>
    </row>
    <row r="37" spans="2:17" ht="22.35" customHeight="1" thickBot="1">
      <c r="B37" s="1137" t="s">
        <v>119</v>
      </c>
      <c r="C37" s="1111"/>
      <c r="D37" s="1111"/>
      <c r="E37" s="1111"/>
      <c r="F37" s="1111"/>
      <c r="G37" s="1111"/>
      <c r="H37" s="1138"/>
      <c r="I37" s="1234">
        <f>IF(J33=1,(D35*D4/18+F35*F4/18+H35*H4/18+J35*J4/18),(D35*D4/19+F35*F4/19+H35*H4/19+J35*J4/19))</f>
        <v>15.05263157894737</v>
      </c>
      <c r="J37" s="1138"/>
      <c r="K37" s="1"/>
      <c r="L37" s="1"/>
      <c r="M37" s="1"/>
      <c r="N37" s="1"/>
      <c r="O37" s="1"/>
      <c r="P37" s="1"/>
      <c r="Q37" s="1"/>
    </row>
    <row r="38" spans="2:17" ht="8.1" customHeight="1" thickBot="1">
      <c r="B38" s="226"/>
      <c r="C38" s="24"/>
      <c r="D38" s="17"/>
      <c r="E38" s="24"/>
      <c r="F38" s="223"/>
      <c r="G38" s="24"/>
      <c r="H38" s="223"/>
      <c r="I38" s="32"/>
      <c r="J38" s="223"/>
      <c r="K38" s="1"/>
      <c r="L38" s="1"/>
    </row>
    <row r="39" spans="2:17" ht="22.35" customHeight="1" thickBot="1">
      <c r="B39" s="1139" t="s">
        <v>321</v>
      </c>
      <c r="C39" s="1111"/>
      <c r="D39" s="1111"/>
      <c r="E39" s="1111"/>
      <c r="F39" s="1111"/>
      <c r="G39" s="1111"/>
      <c r="H39" s="1140"/>
      <c r="I39" s="1399">
        <f>I37</f>
        <v>15.05263157894737</v>
      </c>
      <c r="J39" s="1138"/>
      <c r="K39" s="1"/>
      <c r="L39" s="1"/>
    </row>
    <row r="40" spans="2:17" ht="21" customHeight="1" thickBot="1">
      <c r="B40" s="226"/>
      <c r="C40" s="24"/>
      <c r="D40" s="17"/>
      <c r="E40" s="24"/>
      <c r="F40" s="223"/>
      <c r="G40" s="24"/>
      <c r="H40" s="223"/>
      <c r="I40" s="24"/>
      <c r="J40" s="223"/>
      <c r="K40" s="1"/>
      <c r="L40" s="1"/>
    </row>
    <row r="41" spans="2:17" ht="15.75" customHeight="1">
      <c r="B41" s="852" t="str">
        <f>IF(D7+F7+H7+J7&gt;1,"WARNING!  Too many options selected for Row 1"," ")</f>
        <v xml:space="preserve"> </v>
      </c>
      <c r="C41" s="853"/>
      <c r="D41" s="853"/>
      <c r="E41" s="853"/>
      <c r="F41" s="853"/>
      <c r="G41" s="853"/>
      <c r="H41" s="853"/>
      <c r="I41" s="853"/>
      <c r="J41" s="910"/>
      <c r="K41" s="1"/>
      <c r="L41" s="1"/>
    </row>
    <row r="42" spans="2:17" ht="15.75" customHeight="1">
      <c r="B42" s="849" t="str">
        <f>IF(D8+F8+H8+J8&gt;1,"WARNING!  Too many options selected for Row 2"," ")</f>
        <v xml:space="preserve"> </v>
      </c>
      <c r="C42" s="850"/>
      <c r="D42" s="850"/>
      <c r="E42" s="850"/>
      <c r="F42" s="850"/>
      <c r="G42" s="850"/>
      <c r="H42" s="850"/>
      <c r="I42" s="850"/>
      <c r="J42" s="891"/>
      <c r="K42" s="1"/>
      <c r="L42" s="1"/>
    </row>
    <row r="43" spans="2:17" ht="15.75" customHeight="1">
      <c r="B43" s="849" t="str">
        <f>IF(D10+F10+H10+J10&gt;1,"WARNING!  Too many options selected for Row 3"," ")</f>
        <v xml:space="preserve"> </v>
      </c>
      <c r="C43" s="850"/>
      <c r="D43" s="850"/>
      <c r="E43" s="850"/>
      <c r="F43" s="850"/>
      <c r="G43" s="850"/>
      <c r="H43" s="850"/>
      <c r="I43" s="850"/>
      <c r="J43" s="891"/>
      <c r="K43" s="1"/>
      <c r="L43" s="1"/>
    </row>
    <row r="44" spans="2:17" ht="15.75" customHeight="1">
      <c r="B44" s="849" t="str">
        <f>IF(D12+F12+H12+J12&gt;1,"WARNING!  Too many options selected for Row 4"," ")</f>
        <v xml:space="preserve"> </v>
      </c>
      <c r="C44" s="850"/>
      <c r="D44" s="850"/>
      <c r="E44" s="850"/>
      <c r="F44" s="850"/>
      <c r="G44" s="850"/>
      <c r="H44" s="850"/>
      <c r="I44" s="850"/>
      <c r="J44" s="891"/>
      <c r="K44" s="1"/>
      <c r="L44" s="1"/>
    </row>
    <row r="45" spans="2:17" ht="15.75" customHeight="1">
      <c r="B45" s="849" t="str">
        <f>IF(D14+F14+H14+J14&gt;1,"WARNING!  Too many options selected for Row 5"," ")</f>
        <v xml:space="preserve"> </v>
      </c>
      <c r="C45" s="850"/>
      <c r="D45" s="850"/>
      <c r="E45" s="850"/>
      <c r="F45" s="850"/>
      <c r="G45" s="850"/>
      <c r="H45" s="850"/>
      <c r="I45" s="850"/>
      <c r="J45" s="891"/>
      <c r="K45" s="1"/>
      <c r="L45" s="1"/>
    </row>
    <row r="46" spans="2:17" ht="15.75" customHeight="1">
      <c r="B46" s="849" t="str">
        <f>IF(D15+F15+H15+J15&gt;1,"WARNING!  Too many options selected for Row 6"," ")</f>
        <v xml:space="preserve"> </v>
      </c>
      <c r="C46" s="850"/>
      <c r="D46" s="850"/>
      <c r="E46" s="850"/>
      <c r="F46" s="850"/>
      <c r="G46" s="850"/>
      <c r="H46" s="850"/>
      <c r="I46" s="850"/>
      <c r="J46" s="891"/>
      <c r="K46" s="1"/>
      <c r="L46" s="1"/>
    </row>
    <row r="47" spans="2:17" ht="15.75" customHeight="1">
      <c r="B47" s="849" t="str">
        <f>IF(D16+F16+H16+J16&gt;1,"WARNING!  Too many options selected for Row 7"," ")</f>
        <v xml:space="preserve"> </v>
      </c>
      <c r="C47" s="850"/>
      <c r="D47" s="850"/>
      <c r="E47" s="850"/>
      <c r="F47" s="850"/>
      <c r="G47" s="850"/>
      <c r="H47" s="850"/>
      <c r="I47" s="850"/>
      <c r="J47" s="891"/>
      <c r="K47" s="1"/>
      <c r="L47" s="1"/>
    </row>
    <row r="48" spans="2:17" ht="15.75" customHeight="1">
      <c r="B48" s="849" t="str">
        <f>IF(D18+F18+H18+J18&gt;1,"WARNING!  Too many options selected for Row 8"," ")</f>
        <v xml:space="preserve"> </v>
      </c>
      <c r="C48" s="850"/>
      <c r="D48" s="850"/>
      <c r="E48" s="850"/>
      <c r="F48" s="850"/>
      <c r="G48" s="850"/>
      <c r="H48" s="850"/>
      <c r="I48" s="850"/>
      <c r="J48" s="891"/>
      <c r="K48" s="1"/>
      <c r="L48" s="1"/>
    </row>
    <row r="49" spans="2:2" ht="15.75" customHeight="1">
      <c r="B49" s="849" t="str">
        <f>IF(D20+F20+H20+J20&gt;1,"WARNING!  Too many options selected for Row 9"," ")</f>
        <v xml:space="preserve"> </v>
      </c>
    </row>
    <row r="50" spans="2:2" ht="15.75" customHeight="1">
      <c r="B50" s="849" t="str">
        <f>IF(D21+F21+H21+J21&gt;1,"WARNING!  Too many options selected for Row 10"," ")</f>
        <v xml:space="preserve"> </v>
      </c>
    </row>
    <row r="51" spans="2:2" ht="15.75" customHeight="1">
      <c r="B51" s="849" t="str">
        <f>IF(D22+F22+H22+J22&gt;1,"WARNING!  Too many options selected for Row 11"," ")</f>
        <v xml:space="preserve"> </v>
      </c>
    </row>
    <row r="52" spans="2:2" ht="15.75" customHeight="1">
      <c r="B52" s="849" t="str">
        <f>IF(D23+F23+H23+J23&gt;1,"WARNING!  Too many options selected for Row 12"," ")</f>
        <v xml:space="preserve"> </v>
      </c>
    </row>
    <row r="53" spans="2:2" ht="15.75" customHeight="1">
      <c r="B53" s="849" t="str">
        <f>IF(D25+F25+H25+J25&gt;1,"WARNING!  Too many options selected for Row 13"," ")</f>
        <v xml:space="preserve"> </v>
      </c>
    </row>
    <row r="54" spans="2:2" ht="15.75" customHeight="1">
      <c r="B54" s="849" t="str">
        <f>IF(D26+F26+H26+J26&gt;1,"WARNING!  Too many options selected for Row 14"," ")</f>
        <v xml:space="preserve"> </v>
      </c>
    </row>
    <row r="55" spans="2:2" ht="15.75" customHeight="1">
      <c r="B55" s="849" t="str">
        <f>IF(D27+F27+H27+J27&gt;1,"WARNING!  Too many options selected for Row 15"," ")</f>
        <v xml:space="preserve"> </v>
      </c>
    </row>
    <row r="56" spans="2:2" ht="15.75" customHeight="1">
      <c r="B56" s="849" t="str">
        <f>IF(D29+F29+H29+J29&gt;1,"WARNING!  Too many options selected for Row 16"," ")</f>
        <v xml:space="preserve"> </v>
      </c>
    </row>
    <row r="57" spans="2:2" ht="15.75" customHeight="1">
      <c r="B57" s="849" t="str">
        <f>IF(D31+F31+H31+J31&gt;1,"WARNING!  Too many options selected for Row 17"," ")</f>
        <v xml:space="preserve"> </v>
      </c>
    </row>
    <row r="58" spans="2:2" ht="15.75" customHeight="1">
      <c r="B58" s="849" t="str">
        <f>IF(D33+F33+H33+J33&gt;1,"WARNING!  Too many options selected for Row 18"," ")</f>
        <v xml:space="preserve"> </v>
      </c>
    </row>
    <row r="59" spans="2:2" ht="15.75" customHeight="1" thickBot="1">
      <c r="B59" s="851" t="str">
        <f>IF(D34+F34+H34+J34&gt;1,"WARNING!  Too many options selected for Row 19"," ")</f>
        <v xml:space="preserve"> </v>
      </c>
    </row>
  </sheetData>
  <mergeCells count="18">
    <mergeCell ref="B9:J9"/>
    <mergeCell ref="B13:J13"/>
    <mergeCell ref="B17:J17"/>
    <mergeCell ref="B2:J2"/>
    <mergeCell ref="L2:Q2"/>
    <mergeCell ref="C5:D5"/>
    <mergeCell ref="E5:J5"/>
    <mergeCell ref="B6:J6"/>
    <mergeCell ref="B19:J19"/>
    <mergeCell ref="B24:J24"/>
    <mergeCell ref="B39:H39"/>
    <mergeCell ref="I39:J39"/>
    <mergeCell ref="B11:J11"/>
    <mergeCell ref="B28:J28"/>
    <mergeCell ref="B30:J30"/>
    <mergeCell ref="B32:J32"/>
    <mergeCell ref="B37:H37"/>
    <mergeCell ref="I37:J37"/>
  </mergeCells>
  <pageMargins left="0.70866141732283472" right="0.70866141732283472" top="0.74803149606299213" bottom="0.74803149606299213" header="0" footer="0"/>
  <pageSetup paperSize="5" scale="3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L50"/>
  <sheetViews>
    <sheetView topLeftCell="A22" zoomScale="145" zoomScaleNormal="145" workbookViewId="0">
      <selection activeCell="F31" sqref="F31"/>
    </sheetView>
  </sheetViews>
  <sheetFormatPr defaultColWidth="14.42578125" defaultRowHeight="15" customHeight="1"/>
  <cols>
    <col min="1" max="1" width="2" customWidth="1"/>
    <col min="2" max="2" width="10.140625" customWidth="1"/>
    <col min="3" max="4" width="9.5703125" customWidth="1"/>
    <col min="5" max="5" width="46.140625" customWidth="1"/>
    <col min="6" max="6" width="10.85546875" customWidth="1"/>
    <col min="7" max="7" width="18.85546875" customWidth="1"/>
    <col min="8" max="8" width="2.140625" customWidth="1"/>
    <col min="9" max="10" width="30.85546875" customWidth="1"/>
    <col min="11" max="11" width="4.140625" customWidth="1"/>
    <col min="12" max="12" width="14.140625" customWidth="1"/>
    <col min="13" max="13" width="3.5703125" customWidth="1"/>
    <col min="14" max="14" width="2.5703125" customWidth="1"/>
    <col min="15" max="15" width="9.140625" customWidth="1"/>
    <col min="16" max="16" width="1.85546875" customWidth="1"/>
    <col min="17" max="17" width="10.85546875" customWidth="1"/>
    <col min="18" max="19" width="9.140625" customWidth="1"/>
    <col min="20" max="20" width="6.5703125" customWidth="1"/>
    <col min="21" max="21" width="4.5703125" customWidth="1"/>
    <col min="22" max="28" width="8.85546875" customWidth="1"/>
  </cols>
  <sheetData>
    <row r="2" spans="2:12" ht="22.5" customHeight="1">
      <c r="B2" s="1037" t="s">
        <v>11</v>
      </c>
      <c r="C2" s="1018"/>
      <c r="D2" s="1018"/>
      <c r="E2" s="1018"/>
      <c r="F2" s="1018"/>
      <c r="G2" s="1018"/>
      <c r="H2" s="1018"/>
      <c r="I2" s="1018"/>
      <c r="J2" s="1018"/>
      <c r="K2" s="15"/>
      <c r="L2" s="15"/>
    </row>
    <row r="3" spans="2:12" ht="6.75" customHeight="1">
      <c r="B3" s="16"/>
      <c r="C3" s="16"/>
      <c r="D3" s="16"/>
      <c r="E3" s="16"/>
      <c r="F3" s="16"/>
      <c r="G3" s="16"/>
      <c r="H3" s="14"/>
      <c r="K3" s="14"/>
      <c r="L3" s="14"/>
    </row>
    <row r="4" spans="2:12">
      <c r="B4" s="1038" t="s">
        <v>12</v>
      </c>
      <c r="C4" s="1039"/>
      <c r="D4" s="1039"/>
      <c r="E4" s="1039"/>
      <c r="F4" s="1039"/>
      <c r="G4" s="1040"/>
      <c r="H4" s="18"/>
      <c r="I4" s="19" t="str">
        <f>'Supporting Data'!B2</f>
        <v>State:</v>
      </c>
      <c r="J4" s="884" t="str">
        <f>'Supporting Data'!D2</f>
        <v>Tamil Nadu</v>
      </c>
      <c r="K4" s="20"/>
      <c r="L4" s="21"/>
    </row>
    <row r="5" spans="2:12">
      <c r="B5" s="25" t="s">
        <v>13</v>
      </c>
      <c r="C5" s="26" t="s">
        <v>14</v>
      </c>
      <c r="D5" s="26" t="s">
        <v>15</v>
      </c>
      <c r="E5" s="27" t="s">
        <v>16</v>
      </c>
      <c r="F5" s="27" t="s">
        <v>17</v>
      </c>
      <c r="G5" s="28" t="s">
        <v>18</v>
      </c>
      <c r="H5" s="29"/>
      <c r="I5" s="30" t="str">
        <f>'Supporting Data'!B3</f>
        <v>Dam name:</v>
      </c>
      <c r="J5" s="885">
        <f>'Supporting Data'!D3</f>
        <v>0</v>
      </c>
      <c r="K5" s="31"/>
      <c r="L5" s="32"/>
    </row>
    <row r="6" spans="2:12">
      <c r="B6" s="34">
        <f>TC!C45</f>
        <v>63.166666666666664</v>
      </c>
      <c r="C6" s="35">
        <f>EC!I26</f>
        <v>199.88596491228071</v>
      </c>
      <c r="D6" s="35">
        <f>SP!C40</f>
        <v>41.333333333333329</v>
      </c>
      <c r="E6" s="36">
        <f>SUM(B6:D6)</f>
        <v>304.38596491228071</v>
      </c>
      <c r="F6" s="36">
        <f>PI!C28</f>
        <v>83.464789993262201</v>
      </c>
      <c r="G6" s="37">
        <f>E6*F6</f>
        <v>25405.510638299987</v>
      </c>
      <c r="H6" s="29"/>
      <c r="I6" s="30" t="str">
        <f>'Supporting Data'!C4</f>
        <v>PIC:</v>
      </c>
      <c r="J6" s="885">
        <f>'Supporting Data'!D4</f>
        <v>0</v>
      </c>
      <c r="K6" s="31"/>
      <c r="L6" s="32"/>
    </row>
    <row r="7" spans="2:12">
      <c r="B7" s="1041" t="s">
        <v>19</v>
      </c>
      <c r="C7" s="1042"/>
      <c r="D7" s="1042"/>
      <c r="E7" s="1042"/>
      <c r="F7" s="1042"/>
      <c r="G7" s="1043"/>
      <c r="H7" s="29"/>
      <c r="I7" s="30" t="str">
        <f>'Supporting Data'!B5</f>
        <v>Dam Type:</v>
      </c>
      <c r="J7" s="885" t="str">
        <f>'Supporting Data'!D5</f>
        <v>Composite</v>
      </c>
      <c r="K7" s="31"/>
      <c r="L7" s="32"/>
    </row>
    <row r="8" spans="2:12">
      <c r="B8" s="38">
        <f t="shared" ref="B8:G8" si="0">B6/B12</f>
        <v>0.60737179487179482</v>
      </c>
      <c r="C8" s="38">
        <f t="shared" si="0"/>
        <v>0.60940842961061192</v>
      </c>
      <c r="D8" s="38">
        <f t="shared" si="0"/>
        <v>0.60784313725490191</v>
      </c>
      <c r="E8" s="38">
        <f t="shared" si="0"/>
        <v>0.60877192982456141</v>
      </c>
      <c r="F8" s="38">
        <f t="shared" si="0"/>
        <v>0.16692957998652441</v>
      </c>
      <c r="G8" s="38">
        <f t="shared" si="0"/>
        <v>0.10162204255319995</v>
      </c>
      <c r="H8" s="29"/>
      <c r="I8" s="30" t="str">
        <f>'Supporting Data'!B6</f>
        <v>River System:</v>
      </c>
      <c r="J8" s="885">
        <f>'Supporting Data'!D6</f>
        <v>0</v>
      </c>
      <c r="K8" s="31"/>
      <c r="L8" s="32"/>
    </row>
    <row r="9" spans="2:12" ht="15" customHeight="1">
      <c r="B9" s="1044"/>
      <c r="C9" s="1045"/>
      <c r="D9" s="1045"/>
      <c r="E9" s="1045"/>
      <c r="F9" s="1045"/>
      <c r="G9" s="1045"/>
      <c r="H9" s="39"/>
      <c r="I9" s="30" t="str">
        <f>'Supporting Data'!B7</f>
        <v>Screening provided by:</v>
      </c>
      <c r="J9" s="885" t="str">
        <f>'Supporting Data'!D7</f>
        <v>A.K</v>
      </c>
      <c r="K9" s="883" t="s">
        <v>720</v>
      </c>
      <c r="L9" s="887" t="str">
        <f>'Supporting Data'!I7</f>
        <v>12/05/2023</v>
      </c>
    </row>
    <row r="10" spans="2:12">
      <c r="B10" s="1046" t="s">
        <v>20</v>
      </c>
      <c r="C10" s="1047"/>
      <c r="D10" s="1047"/>
      <c r="E10" s="1047"/>
      <c r="F10" s="1047"/>
      <c r="G10" s="1048"/>
      <c r="H10" s="39"/>
      <c r="I10" s="40" t="str">
        <f>'Supporting Data'!B8</f>
        <v>Reviewer:</v>
      </c>
      <c r="J10" s="886" t="str">
        <f>'Supporting Data'!D8</f>
        <v>J.D</v>
      </c>
      <c r="K10" s="883" t="s">
        <v>720</v>
      </c>
      <c r="L10" s="887" t="str">
        <f>'Supporting Data'!I8</f>
        <v>01/02/2024</v>
      </c>
    </row>
    <row r="11" spans="2:12" ht="13.5" customHeight="1">
      <c r="B11" s="41" t="s">
        <v>13</v>
      </c>
      <c r="C11" s="42" t="s">
        <v>14</v>
      </c>
      <c r="D11" s="42" t="s">
        <v>15</v>
      </c>
      <c r="E11" s="42" t="s">
        <v>16</v>
      </c>
      <c r="F11" s="42" t="s">
        <v>17</v>
      </c>
      <c r="G11" s="43" t="s">
        <v>21</v>
      </c>
      <c r="H11" s="32"/>
      <c r="I11" s="44"/>
      <c r="J11" s="45"/>
      <c r="K11" s="24"/>
      <c r="L11" s="24"/>
    </row>
    <row r="12" spans="2:12" ht="13.5" customHeight="1">
      <c r="B12" s="46">
        <f>TC!C47</f>
        <v>104</v>
      </c>
      <c r="C12" s="47">
        <f>EC!I28</f>
        <v>328</v>
      </c>
      <c r="D12" s="47">
        <f>SP!C42</f>
        <v>68</v>
      </c>
      <c r="E12" s="47">
        <f>SUM(B12:D12)</f>
        <v>500</v>
      </c>
      <c r="F12" s="47">
        <f>PI!C30</f>
        <v>500</v>
      </c>
      <c r="G12" s="48">
        <f>E12*F12</f>
        <v>250000</v>
      </c>
      <c r="H12" s="32"/>
      <c r="I12" s="1"/>
      <c r="J12" s="14"/>
      <c r="K12" s="24"/>
      <c r="L12" s="24"/>
    </row>
    <row r="13" spans="2:12" ht="20.25" customHeight="1">
      <c r="B13" s="1034"/>
      <c r="C13" s="1035"/>
      <c r="D13" s="1035"/>
      <c r="E13" s="1035"/>
      <c r="F13" s="1035"/>
      <c r="G13" s="1035"/>
      <c r="H13" s="32"/>
      <c r="I13" s="1036"/>
      <c r="J13" s="1018"/>
      <c r="K13" s="49"/>
      <c r="L13" s="49"/>
    </row>
    <row r="14" spans="2:12">
      <c r="B14" s="50"/>
      <c r="C14" s="51"/>
      <c r="D14" s="51"/>
      <c r="E14" s="51"/>
      <c r="F14" s="52" t="s">
        <v>22</v>
      </c>
      <c r="G14" s="53" t="s">
        <v>23</v>
      </c>
      <c r="H14" s="14"/>
      <c r="I14" s="1"/>
      <c r="J14" s="14"/>
      <c r="K14" s="14"/>
      <c r="L14" s="1"/>
    </row>
    <row r="15" spans="2:12" ht="14.25" customHeight="1">
      <c r="B15" s="1024" t="s">
        <v>24</v>
      </c>
      <c r="C15" s="1018"/>
      <c r="D15" s="1018"/>
      <c r="E15" s="1018"/>
      <c r="F15" s="1018"/>
      <c r="G15" s="1023"/>
      <c r="H15" s="14"/>
      <c r="I15" s="54"/>
      <c r="J15" s="55"/>
      <c r="K15" s="14"/>
      <c r="L15" s="1"/>
    </row>
    <row r="16" spans="2:12" ht="15" customHeight="1">
      <c r="B16" s="1017" t="str">
        <f>TC!B5</f>
        <v>TC-1 Age</v>
      </c>
      <c r="C16" s="1018"/>
      <c r="D16" s="1018"/>
      <c r="E16" s="1018"/>
      <c r="F16" s="56">
        <f>TC!D7</f>
        <v>3</v>
      </c>
      <c r="G16" s="57" t="s">
        <v>945</v>
      </c>
      <c r="H16" s="14"/>
      <c r="I16" s="54"/>
      <c r="J16" s="55"/>
      <c r="K16" s="14"/>
      <c r="L16" s="1"/>
    </row>
    <row r="17" spans="2:10" ht="15" customHeight="1">
      <c r="B17" s="1017" t="str">
        <f>TC!B9</f>
        <v>TC-2 Inflow Design Flood</v>
      </c>
      <c r="C17" s="1018"/>
      <c r="D17" s="1018"/>
      <c r="E17" s="1018"/>
      <c r="F17" s="56">
        <f>TC!D11</f>
        <v>0</v>
      </c>
      <c r="G17" s="57">
        <f>F17/TC!C12</f>
        <v>0</v>
      </c>
      <c r="H17" s="14"/>
      <c r="I17" s="54"/>
      <c r="J17" s="55"/>
    </row>
    <row r="18" spans="2:10" ht="15" customHeight="1">
      <c r="B18" s="1017" t="str">
        <f>TC!B13</f>
        <v>TC-3 Seismic design</v>
      </c>
      <c r="C18" s="1018"/>
      <c r="D18" s="1018"/>
      <c r="E18" s="1018"/>
      <c r="F18" s="56">
        <f>TC!D15</f>
        <v>0</v>
      </c>
      <c r="G18" s="57">
        <f>F18/TC!C17</f>
        <v>0</v>
      </c>
      <c r="H18" s="14"/>
      <c r="I18" s="54"/>
      <c r="J18" s="55"/>
    </row>
    <row r="19" spans="2:10" ht="15" customHeight="1">
      <c r="B19" s="1017" t="str">
        <f>TC!B18</f>
        <v>TC-4 Landslides, GLOF's, LDOF's, debris flow and sedimentation</v>
      </c>
      <c r="C19" s="1018"/>
      <c r="D19" s="1018"/>
      <c r="E19" s="1018"/>
      <c r="F19" s="56">
        <f>TC!D20</f>
        <v>4.5</v>
      </c>
      <c r="G19" s="57">
        <f>F19/TC!C21</f>
        <v>0.6428571428571429</v>
      </c>
      <c r="H19" s="14"/>
      <c r="I19" s="54"/>
      <c r="J19" s="55"/>
    </row>
    <row r="20" spans="2:10" ht="15" customHeight="1">
      <c r="B20" s="1017" t="str">
        <f>TC!B25</f>
        <v>TC-5 Length (m)</v>
      </c>
      <c r="C20" s="1018"/>
      <c r="D20" s="1018"/>
      <c r="E20" s="1018"/>
      <c r="F20" s="56">
        <f>'5 Length'!H13</f>
        <v>3</v>
      </c>
      <c r="G20" s="57">
        <f>F20/TC!C29</f>
        <v>1</v>
      </c>
      <c r="H20" s="14"/>
      <c r="I20" s="54"/>
      <c r="J20" s="55"/>
    </row>
    <row r="21" spans="2:10" ht="15" customHeight="1">
      <c r="B21" s="1017" t="str">
        <f>TC!B30</f>
        <v>TC-6 Conduits</v>
      </c>
      <c r="C21" s="1018"/>
      <c r="D21" s="1018"/>
      <c r="E21" s="1018"/>
      <c r="F21" s="56">
        <f>TC!F32</f>
        <v>6</v>
      </c>
      <c r="G21" s="57">
        <f>F21/TC!C33</f>
        <v>0.4</v>
      </c>
      <c r="H21" s="14"/>
      <c r="I21" s="54"/>
      <c r="J21" s="55"/>
    </row>
    <row r="22" spans="2:10" ht="15" customHeight="1">
      <c r="B22" s="1017" t="str">
        <f>TC!B34</f>
        <v>TC-7 Filters</v>
      </c>
      <c r="C22" s="1018"/>
      <c r="D22" s="1018"/>
      <c r="E22" s="1018"/>
      <c r="F22" s="56">
        <f>TC!F36</f>
        <v>12</v>
      </c>
      <c r="G22" s="57">
        <f>F22/TC!C37</f>
        <v>0.5</v>
      </c>
      <c r="H22" s="14"/>
      <c r="I22" s="1"/>
      <c r="J22" s="1"/>
    </row>
    <row r="23" spans="2:10" ht="15" customHeight="1">
      <c r="B23" s="1028" t="str">
        <f>TC!B38</f>
        <v>TC-8 Foundation and Abutments</v>
      </c>
      <c r="C23" s="1018"/>
      <c r="D23" s="1018"/>
      <c r="E23" s="1018"/>
      <c r="F23" s="56"/>
      <c r="G23" s="57"/>
      <c r="H23" s="14"/>
      <c r="I23" s="1029" t="str">
        <f>IF(EC!J31="YES", "Dam is a class A Structure - see worksheet EC for details","")</f>
        <v>Dam is a class A Structure - see worksheet EC for details</v>
      </c>
      <c r="J23" s="1030"/>
    </row>
    <row r="24" spans="2:10" ht="15" customHeight="1">
      <c r="B24" s="1031" t="s">
        <v>700</v>
      </c>
      <c r="C24" s="1018"/>
      <c r="D24" s="1018"/>
      <c r="E24" s="1018"/>
      <c r="F24" s="56">
        <f>TC!D41</f>
        <v>0</v>
      </c>
      <c r="G24" s="57">
        <f>F24/TC!C43</f>
        <v>0</v>
      </c>
      <c r="H24" s="14"/>
      <c r="I24" s="1"/>
      <c r="J24" s="1"/>
    </row>
    <row r="25" spans="2:10" ht="15" customHeight="1">
      <c r="B25" s="1033" t="str">
        <f>TC!F24</f>
        <v>Embankment</v>
      </c>
      <c r="C25" s="1018"/>
      <c r="D25" s="1018"/>
      <c r="E25" s="1018"/>
      <c r="F25" s="56">
        <f>TC!F41</f>
        <v>28</v>
      </c>
      <c r="G25" s="57">
        <f>F25/TC!C43</f>
        <v>1</v>
      </c>
      <c r="H25" s="14"/>
      <c r="I25" s="1025" t="str">
        <f>IF('2 IDF'!E10=1,"PMF STUDY REQUIRES A REVIEW - the value of PMF appears to be too close to the recorded peak inflow "," ")</f>
        <v xml:space="preserve"> </v>
      </c>
      <c r="J25" s="1025" t="str">
        <f>IF('8 Foundation'!H9=1,"NO VERDICT DAM - information about site geology and subsurface conditions of bedrock insufficient"," ")</f>
        <v xml:space="preserve"> </v>
      </c>
    </row>
    <row r="26" spans="2:10" ht="15" customHeight="1">
      <c r="B26" s="1024" t="s">
        <v>25</v>
      </c>
      <c r="C26" s="1018"/>
      <c r="D26" s="1018"/>
      <c r="E26" s="1018"/>
      <c r="F26" s="1018"/>
      <c r="G26" s="1023"/>
      <c r="H26" s="14"/>
      <c r="I26" s="1026"/>
      <c r="J26" s="1026"/>
    </row>
    <row r="27" spans="2:10" ht="15" customHeight="1">
      <c r="B27" s="1017" t="str">
        <f>EC!B5</f>
        <v>EC-1 Seismic resistance</v>
      </c>
      <c r="C27" s="1018"/>
      <c r="D27" s="1018"/>
      <c r="E27" s="1018"/>
      <c r="F27" s="56">
        <f>EC!D7</f>
        <v>9</v>
      </c>
      <c r="G27" s="57">
        <f>F27/EC!C8</f>
        <v>0.5</v>
      </c>
      <c r="H27" s="14"/>
      <c r="I27" s="1026"/>
      <c r="J27" s="1026"/>
    </row>
    <row r="28" spans="2:10" ht="15" customHeight="1">
      <c r="B28" s="1032" t="str">
        <f>EC!B9</f>
        <v xml:space="preserve">EC-2 Available flow discharge capacity </v>
      </c>
      <c r="C28" s="1018"/>
      <c r="D28" s="1018"/>
      <c r="E28" s="1018"/>
      <c r="F28" s="56">
        <f>EC!D14</f>
        <v>28</v>
      </c>
      <c r="G28" s="57">
        <f>F28/EC!C16</f>
        <v>0.4375</v>
      </c>
      <c r="H28" s="14"/>
      <c r="I28" s="1026"/>
      <c r="J28" s="1026"/>
    </row>
    <row r="29" spans="2:10" ht="15" customHeight="1">
      <c r="B29" s="1017" t="str">
        <f>EC!B17</f>
        <v>EC-3 Actual flow discharge equipment conditions</v>
      </c>
      <c r="C29" s="1018"/>
      <c r="D29" s="1018"/>
      <c r="E29" s="1018"/>
      <c r="F29" s="56">
        <f>EC!D19</f>
        <v>40</v>
      </c>
      <c r="G29" s="57">
        <f>F29/EC!C21</f>
        <v>0.61538461538461542</v>
      </c>
      <c r="H29" s="14"/>
      <c r="I29" s="1027"/>
      <c r="J29" s="1027"/>
    </row>
    <row r="30" spans="2:10" ht="15" customHeight="1">
      <c r="B30" s="1017" t="str">
        <f>EC!B22</f>
        <v>EC-4 Back-up power</v>
      </c>
      <c r="C30" s="1018"/>
      <c r="D30" s="1018"/>
      <c r="E30" s="1018"/>
      <c r="F30" s="56">
        <f>'4 Back-up power'!G15</f>
        <v>9</v>
      </c>
      <c r="G30" s="57">
        <f>F30/EC!C25</f>
        <v>0.75</v>
      </c>
      <c r="H30" s="14"/>
      <c r="I30" s="1025" t="str">
        <f>IF('2 IDF'!E16=1,"NO VERDICT DAM - credibility of the SPF estimate is doubtful and a review is required"," ")</f>
        <v xml:space="preserve"> </v>
      </c>
      <c r="J30" s="1025" t="str">
        <f>IF('8 Foundation'!H39=1,"NO VERDICT DAM - information about site geology and subsurface conditions of overburden  insufficient"," ")</f>
        <v>NO VERDICT DAM - information about site geology and subsurface conditions of overburden  insufficient</v>
      </c>
    </row>
    <row r="31" spans="2:10" ht="15" customHeight="1">
      <c r="B31" s="1017" t="str">
        <f>EC!B26</f>
        <v>EC-5 Access to site</v>
      </c>
      <c r="C31" s="1018"/>
      <c r="D31" s="1018"/>
      <c r="E31" s="1018"/>
      <c r="F31" s="56">
        <f>EC!D27</f>
        <v>4.5</v>
      </c>
      <c r="G31" s="57">
        <f>F31/EC!C28</f>
        <v>0.75</v>
      </c>
      <c r="H31" s="14"/>
      <c r="I31" s="1026"/>
      <c r="J31" s="1026"/>
    </row>
    <row r="32" spans="2:10" ht="15" customHeight="1">
      <c r="B32" s="1017" t="str">
        <f>EC!B29</f>
        <v>EC-6 Concrete gravity</v>
      </c>
      <c r="C32" s="1018"/>
      <c r="D32" s="1018"/>
      <c r="E32" s="1018"/>
      <c r="F32" s="56">
        <f>'6 Concrete'!I37</f>
        <v>11</v>
      </c>
      <c r="G32" s="57">
        <f>F32/EC!C33</f>
        <v>0.42307692307692307</v>
      </c>
      <c r="H32" s="14"/>
      <c r="I32" s="1026"/>
      <c r="J32" s="1026"/>
    </row>
    <row r="33" spans="2:10" ht="15" customHeight="1">
      <c r="B33" s="1017" t="str">
        <f>EC!H5</f>
        <v>EC-7 Spillway structure</v>
      </c>
      <c r="C33" s="1018"/>
      <c r="D33" s="1018"/>
      <c r="E33" s="1018"/>
      <c r="F33" s="56">
        <f>EC!J8</f>
        <v>18</v>
      </c>
      <c r="G33" s="57">
        <f>F33/EC!I9</f>
        <v>0.6</v>
      </c>
      <c r="H33" s="14"/>
      <c r="I33" s="1026"/>
      <c r="J33" s="1026"/>
    </row>
    <row r="34" spans="2:10" ht="15" customHeight="1">
      <c r="B34" s="1017" t="str">
        <f>EC!H11</f>
        <v>EC-8 Masonry</v>
      </c>
      <c r="C34" s="1018"/>
      <c r="D34" s="1018"/>
      <c r="E34" s="1018"/>
      <c r="F34" s="56">
        <f>EC!J12</f>
        <v>15.05263157894737</v>
      </c>
      <c r="G34" s="57">
        <f>F34/EC!I15</f>
        <v>0.40682788051209107</v>
      </c>
      <c r="H34" s="14"/>
      <c r="I34" s="1027"/>
      <c r="J34" s="1027"/>
    </row>
    <row r="35" spans="2:10" ht="15" customHeight="1">
      <c r="B35" s="1017" t="str">
        <f>EC!H16</f>
        <v>EC-9 Embankment, abutments and foundations</v>
      </c>
      <c r="C35" s="1018"/>
      <c r="D35" s="1018"/>
      <c r="E35" s="1018"/>
      <c r="F35" s="56">
        <f>EC!J17</f>
        <v>65.333333333333329</v>
      </c>
      <c r="G35" s="57">
        <f>F35/EC!I20</f>
        <v>0.93333333333333324</v>
      </c>
      <c r="H35" s="14"/>
      <c r="I35" s="14"/>
      <c r="J35" s="14"/>
    </row>
    <row r="36" spans="2:10" ht="15" customHeight="1">
      <c r="B36" s="1024" t="s">
        <v>26</v>
      </c>
      <c r="C36" s="1018"/>
      <c r="D36" s="1018"/>
      <c r="E36" s="1018"/>
      <c r="F36" s="1018"/>
      <c r="G36" s="1023"/>
      <c r="H36" s="14"/>
      <c r="I36" s="14"/>
      <c r="J36" s="14"/>
    </row>
    <row r="37" spans="2:10" ht="15" customHeight="1">
      <c r="B37" s="1017" t="str">
        <f>SP!B5</f>
        <v>1-Design documentation</v>
      </c>
      <c r="C37" s="1018"/>
      <c r="D37" s="1018"/>
      <c r="E37" s="1018"/>
      <c r="F37" s="56">
        <f>SP!D7</f>
        <v>1</v>
      </c>
      <c r="G37" s="57">
        <f>F37/SP!C8</f>
        <v>0.5</v>
      </c>
      <c r="H37" s="14"/>
      <c r="I37" s="1"/>
      <c r="J37" s="1"/>
    </row>
    <row r="38" spans="2:10" ht="15" customHeight="1">
      <c r="B38" s="1017" t="str">
        <f>SP!B9</f>
        <v>2-Operations &amp; Maintenance  (O&amp;M) Manual</v>
      </c>
      <c r="C38" s="1018"/>
      <c r="D38" s="1018"/>
      <c r="E38" s="1018"/>
      <c r="F38" s="56">
        <f>SP!D11</f>
        <v>7</v>
      </c>
      <c r="G38" s="57">
        <f>F38/SP!C12</f>
        <v>0.875</v>
      </c>
      <c r="H38" s="14"/>
      <c r="I38" s="1"/>
      <c r="J38" s="1"/>
    </row>
    <row r="39" spans="2:10" ht="15" customHeight="1">
      <c r="B39" s="1017" t="str">
        <f>SP!B13</f>
        <v xml:space="preserve">3-Emergency Action Plan </v>
      </c>
      <c r="C39" s="1018"/>
      <c r="D39" s="1018"/>
      <c r="E39" s="1018"/>
      <c r="F39" s="56">
        <f>SP!D15</f>
        <v>4</v>
      </c>
      <c r="G39" s="57">
        <f>F39/SP!C16</f>
        <v>0.5</v>
      </c>
      <c r="H39" s="14"/>
      <c r="I39" s="1"/>
      <c r="J39" s="1"/>
    </row>
    <row r="40" spans="2:10" ht="15" customHeight="1">
      <c r="B40" s="1017" t="str">
        <f>SP!B17</f>
        <v>4-Organization, staffing and technical competence</v>
      </c>
      <c r="C40" s="1018"/>
      <c r="D40" s="1018"/>
      <c r="E40" s="1018"/>
      <c r="F40" s="56">
        <f>SP!D19</f>
        <v>1.6666666666666665</v>
      </c>
      <c r="G40" s="57">
        <f>F40/SP!C20</f>
        <v>0.55555555555555547</v>
      </c>
      <c r="H40" s="14"/>
      <c r="I40" s="1"/>
      <c r="J40" s="1"/>
    </row>
    <row r="41" spans="2:10" ht="15" customHeight="1">
      <c r="B41" s="1017" t="str">
        <f>SP!B21</f>
        <v>5-Safety inspection reporting and monitoring procedures</v>
      </c>
      <c r="C41" s="1018"/>
      <c r="D41" s="1018"/>
      <c r="E41" s="1018"/>
      <c r="F41" s="56">
        <f>SP!D24</f>
        <v>3</v>
      </c>
      <c r="G41" s="57">
        <f>F41/SP!C25</f>
        <v>0.42857142857142855</v>
      </c>
      <c r="H41" s="14"/>
      <c r="I41" s="1"/>
      <c r="J41" s="1"/>
    </row>
    <row r="42" spans="2:10" ht="15" customHeight="1">
      <c r="B42" s="1017" t="str">
        <f>SP!B26</f>
        <v>6-Dam Safety Reports with analysis and interpretation</v>
      </c>
      <c r="C42" s="1018"/>
      <c r="D42" s="1018"/>
      <c r="E42" s="1018"/>
      <c r="F42" s="56">
        <f>SP!D28</f>
        <v>2.6666666666666665</v>
      </c>
      <c r="G42" s="57">
        <f>F42/SP!C29</f>
        <v>0.44444444444444442</v>
      </c>
      <c r="H42" s="14"/>
      <c r="I42" s="1"/>
      <c r="J42" s="1"/>
    </row>
    <row r="43" spans="2:10" ht="15" customHeight="1">
      <c r="B43" s="1017" t="str">
        <f>SP!B30</f>
        <v>7-Follow-up actions</v>
      </c>
      <c r="C43" s="1018"/>
      <c r="D43" s="1018"/>
      <c r="E43" s="1018"/>
      <c r="F43" s="56">
        <f>SP!D33</f>
        <v>4</v>
      </c>
      <c r="G43" s="57">
        <f>F43/SP!C34</f>
        <v>0.25</v>
      </c>
      <c r="H43" s="14"/>
      <c r="I43" s="1"/>
      <c r="J43" s="1"/>
    </row>
    <row r="44" spans="2:10" ht="15" customHeight="1">
      <c r="B44" s="1017" t="str">
        <f>SP!B35</f>
        <v>8-River System operation</v>
      </c>
      <c r="C44" s="1018"/>
      <c r="D44" s="1018"/>
      <c r="E44" s="1018"/>
      <c r="F44" s="56">
        <f>SP!D36</f>
        <v>18</v>
      </c>
      <c r="G44" s="57">
        <f>F44/SP!C38</f>
        <v>1</v>
      </c>
      <c r="H44" s="14"/>
      <c r="I44" s="811"/>
      <c r="J44" s="1"/>
    </row>
    <row r="45" spans="2:10" ht="15" customHeight="1">
      <c r="B45" s="1022" t="s">
        <v>27</v>
      </c>
      <c r="C45" s="1018"/>
      <c r="D45" s="1018"/>
      <c r="E45" s="1018"/>
      <c r="F45" s="1018"/>
      <c r="G45" s="1023"/>
      <c r="H45" s="866"/>
      <c r="I45" s="1"/>
      <c r="J45" s="811"/>
    </row>
    <row r="46" spans="2:10" ht="15" customHeight="1">
      <c r="B46" s="1017" t="str">
        <f>PI!B5</f>
        <v xml:space="preserve">1-Population at Risk (PAR) </v>
      </c>
      <c r="C46" s="1018"/>
      <c r="D46" s="1018"/>
      <c r="E46" s="1018"/>
      <c r="F46" s="56">
        <f>PI!D9</f>
        <v>49.60764713611934</v>
      </c>
      <c r="G46" s="57">
        <f>F46/PI!C12</f>
        <v>0.13228705902965157</v>
      </c>
      <c r="H46" s="14"/>
      <c r="I46" s="1"/>
      <c r="J46" s="1"/>
    </row>
    <row r="47" spans="2:10" ht="15" customHeight="1">
      <c r="B47" s="1017" t="str">
        <f>PI!B13</f>
        <v>2-Environmental impacts</v>
      </c>
      <c r="C47" s="1018"/>
      <c r="D47" s="1018"/>
      <c r="E47" s="1018"/>
      <c r="F47" s="56">
        <f>PI!D16</f>
        <v>21</v>
      </c>
      <c r="G47" s="57">
        <f>F47/PI!C18</f>
        <v>0.6</v>
      </c>
      <c r="H47" s="14"/>
      <c r="I47" s="1"/>
      <c r="J47" s="1"/>
    </row>
    <row r="48" spans="2:10" ht="15" customHeight="1">
      <c r="B48" s="1017" t="str">
        <f>PI!B19</f>
        <v>3-Socio-economic impacts</v>
      </c>
      <c r="C48" s="1018"/>
      <c r="D48" s="1018"/>
      <c r="E48" s="1018"/>
      <c r="F48" s="56">
        <f>PI!D22</f>
        <v>12.857142857142858</v>
      </c>
      <c r="G48" s="57">
        <f>F48/PI!C24</f>
        <v>0.14285714285714285</v>
      </c>
      <c r="H48" s="14"/>
      <c r="I48" s="1"/>
      <c r="J48" s="1"/>
    </row>
    <row r="49" spans="2:7" ht="15" customHeight="1">
      <c r="B49" s="1019" t="str">
        <f>PI!B26</f>
        <v>Can the dam breach cause cascading  failure of downstream dams (YES/NO)</v>
      </c>
      <c r="C49" s="1018"/>
      <c r="D49" s="1018"/>
      <c r="E49" s="1018"/>
      <c r="F49" s="1018"/>
      <c r="G49" s="881" t="str">
        <f>PI!D26</f>
        <v>NO</v>
      </c>
    </row>
    <row r="50" spans="2:7" ht="15" customHeight="1">
      <c r="B50" s="1020" t="str">
        <f>EC!H31</f>
        <v>Is this dam classified as Class A Structure  [YES/NO]</v>
      </c>
      <c r="C50" s="1021"/>
      <c r="D50" s="1021"/>
      <c r="E50" s="1021"/>
      <c r="F50" s="1021"/>
      <c r="G50" s="882" t="str">
        <f>EC!J31</f>
        <v>YES</v>
      </c>
    </row>
  </sheetData>
  <mergeCells count="48">
    <mergeCell ref="B2:J2"/>
    <mergeCell ref="B4:G4"/>
    <mergeCell ref="B7:G7"/>
    <mergeCell ref="B9:G9"/>
    <mergeCell ref="B10:G10"/>
    <mergeCell ref="B13:G13"/>
    <mergeCell ref="I13:J13"/>
    <mergeCell ref="B15:G15"/>
    <mergeCell ref="B16:E16"/>
    <mergeCell ref="B17:E17"/>
    <mergeCell ref="B18:E18"/>
    <mergeCell ref="B19:E19"/>
    <mergeCell ref="B20:E20"/>
    <mergeCell ref="B21:E21"/>
    <mergeCell ref="B25:E25"/>
    <mergeCell ref="B26:G26"/>
    <mergeCell ref="B22:E22"/>
    <mergeCell ref="B23:E23"/>
    <mergeCell ref="I23:J23"/>
    <mergeCell ref="B24:E24"/>
    <mergeCell ref="I25:I29"/>
    <mergeCell ref="J25:J29"/>
    <mergeCell ref="B27:E27"/>
    <mergeCell ref="B28:E28"/>
    <mergeCell ref="B29:E29"/>
    <mergeCell ref="I30:I34"/>
    <mergeCell ref="J30:J34"/>
    <mergeCell ref="B30:E30"/>
    <mergeCell ref="B31:E31"/>
    <mergeCell ref="B32:E32"/>
    <mergeCell ref="B33:E33"/>
    <mergeCell ref="B34:E34"/>
    <mergeCell ref="B35:E35"/>
    <mergeCell ref="B36:G36"/>
    <mergeCell ref="B37:E37"/>
    <mergeCell ref="B38:E38"/>
    <mergeCell ref="B47:E47"/>
    <mergeCell ref="B48:E48"/>
    <mergeCell ref="B49:F49"/>
    <mergeCell ref="B50:F50"/>
    <mergeCell ref="B39:E39"/>
    <mergeCell ref="B40:E40"/>
    <mergeCell ref="B41:E41"/>
    <mergeCell ref="B42:E42"/>
    <mergeCell ref="B43:E43"/>
    <mergeCell ref="B45:G45"/>
    <mergeCell ref="B46:E46"/>
    <mergeCell ref="B44:E44"/>
  </mergeCells>
  <pageMargins left="0.7" right="0.7" top="0.75" bottom="0.75" header="0" footer="0"/>
  <pageSetup orientation="portrait"/>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7F986"/>
    <pageSetUpPr fitToPage="1"/>
  </sheetPr>
  <dimension ref="B2:Q49"/>
  <sheetViews>
    <sheetView topLeftCell="A16" zoomScaleNormal="100" workbookViewId="0">
      <selection activeCell="N32" sqref="N32"/>
    </sheetView>
  </sheetViews>
  <sheetFormatPr defaultColWidth="14.42578125" defaultRowHeight="15" customHeight="1"/>
  <cols>
    <col min="1" max="1" width="4.42578125" customWidth="1"/>
    <col min="2" max="2" width="9.140625" customWidth="1"/>
    <col min="3" max="3" width="33.85546875" customWidth="1"/>
    <col min="4" max="4" width="4.85546875" customWidth="1"/>
    <col min="5" max="5" width="34.42578125" customWidth="1"/>
    <col min="6" max="6" width="4.85546875" customWidth="1"/>
    <col min="7" max="7" width="39.140625" customWidth="1"/>
    <col min="8" max="8" width="4.85546875" customWidth="1"/>
    <col min="9" max="9" width="37.42578125" customWidth="1"/>
    <col min="10" max="10" width="5.5703125" customWidth="1"/>
    <col min="11" max="11" width="2.5703125" customWidth="1"/>
    <col min="12" max="12" width="10.5703125" customWidth="1"/>
    <col min="13" max="13" width="9.140625" customWidth="1"/>
    <col min="14" max="14" width="18.42578125" customWidth="1"/>
    <col min="15" max="15" width="9.140625" customWidth="1"/>
    <col min="16" max="16" width="14.85546875" customWidth="1"/>
    <col min="17" max="27" width="9.140625" customWidth="1"/>
  </cols>
  <sheetData>
    <row r="2" spans="2:17" ht="21.75" customHeight="1" thickBot="1">
      <c r="B2" s="1408" t="s">
        <v>322</v>
      </c>
      <c r="C2" s="1409"/>
      <c r="D2" s="1409"/>
      <c r="E2" s="1409"/>
      <c r="F2" s="1409"/>
      <c r="G2" s="1409"/>
      <c r="H2" s="1409"/>
      <c r="I2" s="1409"/>
      <c r="J2" s="1410"/>
      <c r="K2" s="1"/>
      <c r="L2" s="1236" t="s">
        <v>582</v>
      </c>
      <c r="M2" s="1391"/>
      <c r="N2" s="1391"/>
      <c r="O2" s="1391"/>
      <c r="P2" s="1391"/>
      <c r="Q2" s="1392"/>
    </row>
    <row r="3" spans="2:17" ht="15" customHeight="1">
      <c r="B3" s="963" t="s">
        <v>121</v>
      </c>
      <c r="C3" s="522">
        <v>1</v>
      </c>
      <c r="D3" s="82">
        <v>2</v>
      </c>
      <c r="E3" s="90">
        <v>3</v>
      </c>
      <c r="F3" s="90">
        <v>4</v>
      </c>
      <c r="G3" s="90">
        <v>5</v>
      </c>
      <c r="H3" s="90">
        <v>6</v>
      </c>
      <c r="I3" s="90">
        <v>7</v>
      </c>
      <c r="J3" s="384">
        <v>8</v>
      </c>
      <c r="K3" s="60"/>
      <c r="L3" s="1412" t="s">
        <v>881</v>
      </c>
      <c r="M3" s="1413"/>
      <c r="N3" s="1413"/>
      <c r="O3" s="1413"/>
      <c r="P3" s="1413"/>
      <c r="Q3" s="1414"/>
    </row>
    <row r="4" spans="2:17">
      <c r="B4" s="958"/>
      <c r="C4" s="962" t="s">
        <v>273</v>
      </c>
      <c r="D4" s="575">
        <f>EC!I17</f>
        <v>0</v>
      </c>
      <c r="E4" s="576" t="s">
        <v>295</v>
      </c>
      <c r="F4" s="575">
        <f>EC!I18</f>
        <v>1</v>
      </c>
      <c r="G4" s="576" t="s">
        <v>296</v>
      </c>
      <c r="H4" s="575">
        <f>EC!I19</f>
        <v>16</v>
      </c>
      <c r="I4" s="576" t="s">
        <v>286</v>
      </c>
      <c r="J4" s="577">
        <f>EC!I20</f>
        <v>70</v>
      </c>
      <c r="K4" s="1"/>
      <c r="L4" s="1415"/>
      <c r="M4" s="1416"/>
      <c r="N4" s="1416"/>
      <c r="O4" s="1416"/>
      <c r="P4" s="1416"/>
      <c r="Q4" s="1417"/>
    </row>
    <row r="5" spans="2:17">
      <c r="B5" s="956" t="s">
        <v>126</v>
      </c>
      <c r="C5" s="1407" t="s">
        <v>127</v>
      </c>
      <c r="D5" s="1082"/>
      <c r="E5" s="1407" t="s">
        <v>128</v>
      </c>
      <c r="F5" s="1081"/>
      <c r="G5" s="1081"/>
      <c r="H5" s="1081"/>
      <c r="I5" s="1081"/>
      <c r="J5" s="1098"/>
      <c r="K5" s="457" t="s">
        <v>101</v>
      </c>
      <c r="L5" s="1415"/>
      <c r="M5" s="1416"/>
      <c r="N5" s="1416"/>
      <c r="O5" s="1416"/>
      <c r="P5" s="1416"/>
      <c r="Q5" s="1417"/>
    </row>
    <row r="6" spans="2:17" ht="15" customHeight="1">
      <c r="B6" s="1411" t="s">
        <v>323</v>
      </c>
      <c r="C6" s="1376"/>
      <c r="D6" s="1376"/>
      <c r="E6" s="1376"/>
      <c r="F6" s="1376"/>
      <c r="G6" s="1376"/>
      <c r="H6" s="1376"/>
      <c r="I6" s="1376"/>
      <c r="J6" s="1377"/>
      <c r="K6" s="10"/>
      <c r="L6" s="488"/>
      <c r="M6" s="138"/>
      <c r="N6" s="138"/>
      <c r="O6" s="138"/>
      <c r="P6" s="138"/>
      <c r="Q6" s="465"/>
    </row>
    <row r="7" spans="2:17" ht="48" customHeight="1" thickBot="1">
      <c r="B7" s="957">
        <v>1</v>
      </c>
      <c r="C7" s="191" t="s">
        <v>823</v>
      </c>
      <c r="D7" s="578"/>
      <c r="E7" s="190" t="s">
        <v>324</v>
      </c>
      <c r="F7" s="183"/>
      <c r="G7" s="184" t="s">
        <v>325</v>
      </c>
      <c r="H7" s="183"/>
      <c r="I7" s="190" t="s">
        <v>773</v>
      </c>
      <c r="J7" s="185">
        <v>1</v>
      </c>
      <c r="K7" s="487"/>
      <c r="L7" s="486"/>
      <c r="M7" s="204"/>
      <c r="N7" s="204"/>
      <c r="O7" s="204"/>
      <c r="P7" s="204"/>
      <c r="Q7" s="463"/>
    </row>
    <row r="8" spans="2:17" ht="63.75">
      <c r="B8" s="958">
        <v>2</v>
      </c>
      <c r="C8" s="191" t="s">
        <v>824</v>
      </c>
      <c r="D8" s="579"/>
      <c r="E8" s="190" t="s">
        <v>326</v>
      </c>
      <c r="F8" s="188"/>
      <c r="G8" s="580" t="s">
        <v>327</v>
      </c>
      <c r="H8" s="188"/>
      <c r="I8" s="190" t="s">
        <v>774</v>
      </c>
      <c r="J8" s="189">
        <v>1</v>
      </c>
      <c r="K8" s="1"/>
      <c r="L8" s="486"/>
      <c r="M8" s="204"/>
      <c r="N8" s="204"/>
      <c r="O8" s="204"/>
      <c r="P8" s="204"/>
      <c r="Q8" s="463"/>
    </row>
    <row r="9" spans="2:17" ht="25.5">
      <c r="B9" s="958">
        <v>3</v>
      </c>
      <c r="C9" s="191" t="s">
        <v>825</v>
      </c>
      <c r="D9" s="581"/>
      <c r="E9" s="830" t="s">
        <v>694</v>
      </c>
      <c r="F9" s="192"/>
      <c r="G9" s="580" t="s">
        <v>769</v>
      </c>
      <c r="H9" s="192"/>
      <c r="I9" s="184" t="s">
        <v>775</v>
      </c>
      <c r="J9" s="531">
        <v>1</v>
      </c>
      <c r="K9" s="226"/>
      <c r="L9" s="486"/>
      <c r="M9" s="204"/>
      <c r="N9" s="204"/>
      <c r="O9" s="204"/>
      <c r="P9" s="204"/>
      <c r="Q9" s="463"/>
    </row>
    <row r="10" spans="2:17" ht="15.6" customHeight="1">
      <c r="B10" s="1411" t="s">
        <v>328</v>
      </c>
      <c r="C10" s="1376"/>
      <c r="D10" s="1376"/>
      <c r="E10" s="1376"/>
      <c r="F10" s="1376"/>
      <c r="G10" s="1376"/>
      <c r="H10" s="1376"/>
      <c r="I10" s="1376"/>
      <c r="J10" s="1377"/>
      <c r="K10" s="24"/>
      <c r="L10" s="486"/>
      <c r="M10" s="204"/>
      <c r="N10" s="204"/>
      <c r="O10" s="204"/>
      <c r="P10" s="204"/>
      <c r="Q10" s="463"/>
    </row>
    <row r="11" spans="2:17">
      <c r="B11" s="958">
        <v>4</v>
      </c>
      <c r="C11" s="582" t="s">
        <v>826</v>
      </c>
      <c r="D11" s="583"/>
      <c r="E11" s="280" t="s">
        <v>329</v>
      </c>
      <c r="F11" s="533"/>
      <c r="G11" s="184" t="s">
        <v>848</v>
      </c>
      <c r="H11" s="533"/>
      <c r="I11" s="190" t="s">
        <v>776</v>
      </c>
      <c r="J11" s="534">
        <v>1</v>
      </c>
      <c r="K11" s="496"/>
      <c r="L11" s="486"/>
      <c r="M11" s="204"/>
      <c r="N11" s="204"/>
      <c r="O11" s="204"/>
      <c r="P11" s="204"/>
      <c r="Q11" s="463"/>
    </row>
    <row r="12" spans="2:17" ht="15.75">
      <c r="B12" s="1411" t="s">
        <v>330</v>
      </c>
      <c r="C12" s="1376"/>
      <c r="D12" s="1376"/>
      <c r="E12" s="1376"/>
      <c r="F12" s="1376"/>
      <c r="G12" s="1376"/>
      <c r="H12" s="1376"/>
      <c r="I12" s="1376"/>
      <c r="J12" s="1377"/>
      <c r="K12" s="472"/>
      <c r="L12" s="486"/>
      <c r="M12" s="204"/>
      <c r="N12" s="204"/>
      <c r="O12" s="204"/>
      <c r="P12" s="204"/>
      <c r="Q12" s="463"/>
    </row>
    <row r="13" spans="2:17" ht="39" thickBot="1">
      <c r="B13" s="958">
        <v>5</v>
      </c>
      <c r="C13" s="959" t="s">
        <v>933</v>
      </c>
      <c r="D13" s="183"/>
      <c r="E13" s="584" t="s">
        <v>934</v>
      </c>
      <c r="F13" s="585"/>
      <c r="G13" s="580" t="s">
        <v>935</v>
      </c>
      <c r="H13" s="183"/>
      <c r="I13" s="184" t="s">
        <v>777</v>
      </c>
      <c r="J13" s="185">
        <v>1</v>
      </c>
      <c r="K13" s="472"/>
      <c r="L13" s="486"/>
      <c r="M13" s="204"/>
      <c r="N13" s="204"/>
      <c r="O13" s="204"/>
      <c r="P13" s="204"/>
      <c r="Q13" s="463"/>
    </row>
    <row r="14" spans="2:17" ht="39" thickBot="1">
      <c r="B14" s="958">
        <v>6</v>
      </c>
      <c r="C14" s="959" t="s">
        <v>936</v>
      </c>
      <c r="D14" s="188"/>
      <c r="E14" s="190" t="s">
        <v>941</v>
      </c>
      <c r="F14" s="586"/>
      <c r="G14" s="190" t="s">
        <v>938</v>
      </c>
      <c r="H14" s="188"/>
      <c r="I14" s="184" t="s">
        <v>778</v>
      </c>
      <c r="J14" s="189">
        <v>1</v>
      </c>
      <c r="K14" s="1"/>
      <c r="L14" s="486"/>
      <c r="M14" s="204"/>
      <c r="N14" s="204"/>
      <c r="O14" s="204"/>
      <c r="P14" s="204"/>
      <c r="Q14" s="463"/>
    </row>
    <row r="15" spans="2:17" ht="51">
      <c r="B15" s="958">
        <v>7</v>
      </c>
      <c r="C15" s="959" t="s">
        <v>939</v>
      </c>
      <c r="D15" s="188"/>
      <c r="E15" s="190" t="s">
        <v>940</v>
      </c>
      <c r="F15" s="587"/>
      <c r="G15" s="580" t="s">
        <v>770</v>
      </c>
      <c r="H15" s="188"/>
      <c r="I15" s="190" t="s">
        <v>779</v>
      </c>
      <c r="J15" s="189">
        <v>1</v>
      </c>
      <c r="K15" s="1"/>
      <c r="L15" s="486"/>
      <c r="M15" s="204"/>
      <c r="N15" s="204"/>
      <c r="O15" s="204"/>
      <c r="P15" s="204"/>
      <c r="Q15" s="463"/>
    </row>
    <row r="16" spans="2:17" ht="38.25">
      <c r="B16" s="958">
        <v>8</v>
      </c>
      <c r="C16" s="960" t="s">
        <v>827</v>
      </c>
      <c r="D16" s="188"/>
      <c r="E16" s="584" t="s">
        <v>937</v>
      </c>
      <c r="F16" s="587"/>
      <c r="G16" s="580" t="s">
        <v>771</v>
      </c>
      <c r="H16" s="188"/>
      <c r="I16" s="580" t="s">
        <v>780</v>
      </c>
      <c r="J16" s="189">
        <v>1</v>
      </c>
      <c r="K16" s="1"/>
      <c r="L16" s="486"/>
      <c r="M16" s="204"/>
      <c r="N16" s="204"/>
      <c r="O16" s="204"/>
      <c r="P16" s="204"/>
      <c r="Q16" s="463"/>
    </row>
    <row r="17" spans="2:17" ht="38.25">
      <c r="B17" s="958">
        <v>9</v>
      </c>
      <c r="C17" s="960" t="s">
        <v>331</v>
      </c>
      <c r="D17" s="192"/>
      <c r="E17" s="580" t="s">
        <v>332</v>
      </c>
      <c r="F17" s="588"/>
      <c r="G17" s="580" t="s">
        <v>772</v>
      </c>
      <c r="H17" s="192"/>
      <c r="I17" s="589" t="s">
        <v>781</v>
      </c>
      <c r="J17" s="531">
        <v>1</v>
      </c>
      <c r="K17" s="1"/>
      <c r="L17" s="486"/>
      <c r="M17" s="204"/>
      <c r="N17" s="204"/>
      <c r="O17" s="204"/>
      <c r="P17" s="204"/>
      <c r="Q17" s="463"/>
    </row>
    <row r="18" spans="2:17" ht="15.6" customHeight="1">
      <c r="B18" s="1411" t="s">
        <v>333</v>
      </c>
      <c r="C18" s="1376"/>
      <c r="D18" s="1376"/>
      <c r="E18" s="1376"/>
      <c r="F18" s="1376"/>
      <c r="G18" s="1376"/>
      <c r="H18" s="1376"/>
      <c r="I18" s="1376"/>
      <c r="J18" s="1377"/>
      <c r="K18" s="1"/>
      <c r="L18" s="484"/>
      <c r="M18" s="1"/>
      <c r="N18" s="1"/>
      <c r="O18" s="1"/>
      <c r="P18" s="1"/>
      <c r="Q18" s="308"/>
    </row>
    <row r="19" spans="2:17" ht="39" thickBot="1">
      <c r="B19" s="958">
        <v>10</v>
      </c>
      <c r="C19" s="191" t="s">
        <v>334</v>
      </c>
      <c r="D19" s="183"/>
      <c r="E19" s="190" t="s">
        <v>849</v>
      </c>
      <c r="F19" s="183"/>
      <c r="G19" s="580" t="s">
        <v>850</v>
      </c>
      <c r="H19" s="183"/>
      <c r="I19" s="184" t="s">
        <v>335</v>
      </c>
      <c r="J19" s="185">
        <v>1</v>
      </c>
      <c r="K19" s="1"/>
      <c r="L19" s="484"/>
      <c r="M19" s="1"/>
      <c r="N19" s="1"/>
      <c r="O19" s="1"/>
      <c r="P19" s="1"/>
      <c r="Q19" s="308"/>
    </row>
    <row r="20" spans="2:17" ht="25.5">
      <c r="B20" s="958">
        <v>11</v>
      </c>
      <c r="C20" s="865" t="s">
        <v>692</v>
      </c>
      <c r="D20" s="192"/>
      <c r="E20" s="104" t="s">
        <v>851</v>
      </c>
      <c r="F20" s="192"/>
      <c r="G20" s="184" t="s">
        <v>336</v>
      </c>
      <c r="H20" s="192"/>
      <c r="I20" s="184" t="s">
        <v>337</v>
      </c>
      <c r="J20" s="531">
        <v>1</v>
      </c>
      <c r="K20" s="1"/>
      <c r="L20" s="484"/>
      <c r="M20" s="1"/>
      <c r="N20" s="1"/>
      <c r="O20" s="1"/>
      <c r="P20" s="1"/>
      <c r="Q20" s="308"/>
    </row>
    <row r="21" spans="2:17" ht="15.75" customHeight="1">
      <c r="B21" s="1423" t="s">
        <v>294</v>
      </c>
      <c r="C21" s="1424"/>
      <c r="D21" s="1424"/>
      <c r="E21" s="1424"/>
      <c r="F21" s="1424"/>
      <c r="G21" s="1424"/>
      <c r="H21" s="1424"/>
      <c r="I21" s="1424"/>
      <c r="J21" s="1425"/>
      <c r="K21" s="58"/>
      <c r="L21" s="484"/>
      <c r="M21" s="1"/>
      <c r="N21" s="1"/>
      <c r="O21" s="1"/>
      <c r="P21" s="1"/>
      <c r="Q21" s="308"/>
    </row>
    <row r="22" spans="2:17" ht="64.5" thickBot="1">
      <c r="B22" s="958">
        <v>12</v>
      </c>
      <c r="C22" s="905" t="s">
        <v>876</v>
      </c>
      <c r="D22" s="183"/>
      <c r="E22" s="184" t="s">
        <v>338</v>
      </c>
      <c r="F22" s="183"/>
      <c r="G22" s="184" t="s">
        <v>339</v>
      </c>
      <c r="H22" s="183"/>
      <c r="I22" s="846" t="s">
        <v>693</v>
      </c>
      <c r="J22" s="185">
        <v>1</v>
      </c>
      <c r="K22" s="1"/>
      <c r="L22" s="484"/>
      <c r="M22" s="1"/>
      <c r="N22" s="1"/>
      <c r="O22" s="1"/>
      <c r="P22" s="1"/>
      <c r="Q22" s="308"/>
    </row>
    <row r="23" spans="2:17" ht="45.6" customHeight="1" thickBot="1">
      <c r="B23" s="958">
        <v>13</v>
      </c>
      <c r="C23" s="905" t="s">
        <v>340</v>
      </c>
      <c r="D23" s="192"/>
      <c r="E23" s="190" t="s">
        <v>341</v>
      </c>
      <c r="F23" s="192"/>
      <c r="G23" s="782" t="s">
        <v>691</v>
      </c>
      <c r="H23" s="544"/>
      <c r="I23" s="543" t="s">
        <v>971</v>
      </c>
      <c r="J23" s="545"/>
      <c r="K23" s="58"/>
      <c r="L23" s="484"/>
      <c r="M23" s="1"/>
      <c r="N23" s="1"/>
      <c r="O23" s="1"/>
      <c r="P23" s="1"/>
      <c r="Q23" s="308"/>
    </row>
    <row r="24" spans="2:17" ht="15.75">
      <c r="B24" s="1423" t="s">
        <v>342</v>
      </c>
      <c r="C24" s="1426"/>
      <c r="D24" s="1426"/>
      <c r="E24" s="1426"/>
      <c r="F24" s="1426"/>
      <c r="G24" s="1426"/>
      <c r="H24" s="1426"/>
      <c r="I24" s="1426"/>
      <c r="J24" s="1427"/>
      <c r="K24" s="24"/>
      <c r="L24" s="484"/>
      <c r="M24" s="1"/>
      <c r="N24" s="1"/>
      <c r="O24" s="1"/>
      <c r="P24" s="1"/>
      <c r="Q24" s="308"/>
    </row>
    <row r="25" spans="2:17" ht="64.5" thickBot="1">
      <c r="B25" s="958">
        <v>14</v>
      </c>
      <c r="C25" s="960" t="s">
        <v>878</v>
      </c>
      <c r="D25" s="183"/>
      <c r="E25" s="580" t="s">
        <v>877</v>
      </c>
      <c r="F25" s="590"/>
      <c r="G25" s="184" t="s">
        <v>879</v>
      </c>
      <c r="H25" s="183"/>
      <c r="I25" s="190" t="s">
        <v>880</v>
      </c>
      <c r="J25" s="185"/>
      <c r="K25" s="24"/>
      <c r="L25" s="484"/>
      <c r="M25" s="1"/>
      <c r="N25" s="1"/>
      <c r="O25" s="1"/>
      <c r="P25" s="1"/>
      <c r="Q25" s="308"/>
    </row>
    <row r="26" spans="2:17" ht="39" thickBot="1">
      <c r="B26" s="958">
        <v>15</v>
      </c>
      <c r="C26" s="905" t="s">
        <v>343</v>
      </c>
      <c r="D26" s="188"/>
      <c r="E26" s="190" t="s">
        <v>344</v>
      </c>
      <c r="F26" s="188"/>
      <c r="G26" s="190" t="s">
        <v>345</v>
      </c>
      <c r="H26" s="188"/>
      <c r="I26" s="543" t="s">
        <v>972</v>
      </c>
      <c r="J26" s="189">
        <v>1</v>
      </c>
      <c r="K26" s="24"/>
      <c r="L26" s="484"/>
      <c r="M26" s="1"/>
      <c r="N26" s="1"/>
      <c r="O26" s="1"/>
      <c r="P26" s="1"/>
      <c r="Q26" s="308"/>
    </row>
    <row r="27" spans="2:17" ht="51" customHeight="1" thickBot="1">
      <c r="B27" s="958">
        <v>16</v>
      </c>
      <c r="C27" s="961" t="s">
        <v>346</v>
      </c>
      <c r="D27" s="544"/>
      <c r="E27" s="966" t="s">
        <v>946</v>
      </c>
      <c r="F27" s="192"/>
      <c r="G27" s="543" t="s">
        <v>347</v>
      </c>
      <c r="H27" s="591"/>
      <c r="I27" s="895" t="s">
        <v>973</v>
      </c>
      <c r="J27" s="545">
        <v>1</v>
      </c>
      <c r="K27" s="24"/>
      <c r="L27" s="520"/>
      <c r="M27" s="477"/>
      <c r="N27" s="477"/>
      <c r="O27" s="477"/>
      <c r="P27" s="477"/>
      <c r="Q27" s="478"/>
    </row>
    <row r="28" spans="2:17" ht="15.75" thickBot="1">
      <c r="B28" s="957"/>
      <c r="C28" s="592" t="s">
        <v>129</v>
      </c>
      <c r="D28" s="593">
        <f>SUM(D7:D27)</f>
        <v>0</v>
      </c>
      <c r="E28" s="475" t="s">
        <v>129</v>
      </c>
      <c r="F28" s="475">
        <f>SUM(F7:F27)</f>
        <v>0</v>
      </c>
      <c r="G28" s="475" t="s">
        <v>129</v>
      </c>
      <c r="H28" s="475">
        <f>SUM(H7:H27)</f>
        <v>0</v>
      </c>
      <c r="I28" s="475" t="s">
        <v>129</v>
      </c>
      <c r="J28" s="594">
        <f>SUM(J7:J27)</f>
        <v>14</v>
      </c>
      <c r="K28" s="24"/>
    </row>
    <row r="29" spans="2:17" ht="12.75" customHeight="1" thickBot="1">
      <c r="B29" s="226"/>
      <c r="C29" s="824"/>
      <c r="D29" s="221"/>
      <c r="E29" s="595"/>
      <c r="F29" s="221"/>
      <c r="G29" s="221"/>
      <c r="H29" s="221"/>
      <c r="I29" s="221"/>
      <c r="J29" s="221"/>
      <c r="K29" s="221"/>
      <c r="L29" s="1"/>
      <c r="M29" s="119"/>
      <c r="N29" s="119"/>
      <c r="O29" s="119"/>
      <c r="P29" s="119"/>
      <c r="Q29" s="119"/>
    </row>
    <row r="30" spans="2:17" ht="24.75" customHeight="1" thickBot="1">
      <c r="B30" s="1137" t="s">
        <v>119</v>
      </c>
      <c r="C30" s="1420"/>
      <c r="D30" s="1420"/>
      <c r="E30" s="1420"/>
      <c r="F30" s="1420"/>
      <c r="G30" s="1420"/>
      <c r="H30" s="1420"/>
      <c r="I30" s="1234">
        <f>IF(D28=16,0,IF(J22=1,(F28*F4/15+H28*H4/15+J28*J4/15),(F28*F4/16+H28*H4/16+J28*J4/16)))</f>
        <v>65.333333333333329</v>
      </c>
      <c r="J30" s="1388"/>
      <c r="K30" s="927"/>
      <c r="L30" s="1"/>
      <c r="M30" s="1"/>
      <c r="N30" s="1"/>
      <c r="O30" s="1"/>
      <c r="P30" s="1"/>
      <c r="Q30" s="1"/>
    </row>
    <row r="31" spans="2:17" ht="9.75" customHeight="1" thickBot="1">
      <c r="B31" s="226"/>
      <c r="C31" s="824"/>
      <c r="D31" s="33"/>
      <c r="E31" s="207"/>
      <c r="F31" s="33"/>
      <c r="G31" s="208"/>
      <c r="H31" s="596"/>
      <c r="I31" s="208"/>
      <c r="J31" s="33"/>
      <c r="K31" s="223"/>
      <c r="L31" s="1"/>
      <c r="M31" s="1"/>
      <c r="N31" s="1"/>
      <c r="O31" s="1"/>
      <c r="P31" s="1"/>
      <c r="Q31" s="1"/>
    </row>
    <row r="32" spans="2:17" ht="24.75" customHeight="1" thickBot="1">
      <c r="B32" s="1418" t="s">
        <v>130</v>
      </c>
      <c r="C32" s="1419"/>
      <c r="D32" s="1419"/>
      <c r="E32" s="1419"/>
      <c r="F32" s="1419"/>
      <c r="G32" s="1419"/>
      <c r="H32" s="1419"/>
      <c r="I32" s="1421">
        <f>I30</f>
        <v>65.333333333333329</v>
      </c>
      <c r="J32" s="1422"/>
      <c r="K32" s="810"/>
      <c r="L32" s="1"/>
      <c r="M32" s="1"/>
      <c r="N32" s="1"/>
      <c r="O32" s="1"/>
      <c r="P32" s="1"/>
      <c r="Q32" s="1"/>
    </row>
    <row r="34" spans="2:10" ht="15.75" customHeight="1">
      <c r="B34" s="1371" t="str">
        <f>IF(D7+F7+H7+J7&gt;1,"WARNING!  Too many options selected in Row 1"," ")</f>
        <v xml:space="preserve"> </v>
      </c>
      <c r="C34" s="1406"/>
      <c r="D34" s="1148"/>
      <c r="E34" s="1148"/>
      <c r="F34" s="1148"/>
      <c r="G34" s="1148"/>
      <c r="H34" s="1148"/>
      <c r="I34" s="1148"/>
      <c r="J34" s="1149"/>
    </row>
    <row r="35" spans="2:10" ht="15.75" customHeight="1">
      <c r="B35" s="1387" t="str">
        <f>IF(D8+F8+H8+J8&gt;1,"WARNING!  Too many options selected in Row 2"," ")</f>
        <v xml:space="preserve"> </v>
      </c>
      <c r="C35" s="1405"/>
      <c r="D35" s="1142"/>
      <c r="E35" s="1142"/>
      <c r="F35" s="1142"/>
      <c r="G35" s="1142"/>
      <c r="H35" s="1142"/>
      <c r="I35" s="1142"/>
      <c r="J35" s="1143"/>
    </row>
    <row r="36" spans="2:10" ht="15.75" customHeight="1">
      <c r="B36" s="1387" t="str">
        <f>IF(D9+F9+H9+J9&gt;1,"WARNING!  Too many options selected in Row 3"," ")</f>
        <v xml:space="preserve"> </v>
      </c>
      <c r="C36" s="1405"/>
      <c r="D36" s="1142"/>
      <c r="E36" s="1142"/>
      <c r="F36" s="1142"/>
      <c r="G36" s="1142"/>
      <c r="H36" s="1142"/>
      <c r="I36" s="1142"/>
      <c r="J36" s="1143"/>
    </row>
    <row r="37" spans="2:10" ht="15.75" customHeight="1">
      <c r="B37" s="1387" t="str">
        <f>IF(D11+F11+H11+J11&gt;1,"WARNING!  Too many options selected in Row 4"," ")</f>
        <v xml:space="preserve"> </v>
      </c>
      <c r="C37" s="1405"/>
      <c r="D37" s="1142"/>
      <c r="E37" s="1142"/>
      <c r="F37" s="1142"/>
      <c r="G37" s="1142"/>
      <c r="H37" s="1142"/>
      <c r="I37" s="1142"/>
      <c r="J37" s="1143"/>
    </row>
    <row r="38" spans="2:10" ht="15.75" customHeight="1">
      <c r="B38" s="1387" t="str">
        <f>IF(D13+F13+H13+J13&gt;1,"WARNING!  Too many options selected in Row 5"," ")</f>
        <v xml:space="preserve"> </v>
      </c>
      <c r="C38" s="1405"/>
      <c r="D38" s="1142"/>
      <c r="E38" s="1142"/>
      <c r="F38" s="1142"/>
      <c r="G38" s="1142"/>
      <c r="H38" s="1142"/>
      <c r="I38" s="1142"/>
      <c r="J38" s="1143"/>
    </row>
    <row r="39" spans="2:10" ht="35.1" customHeight="1">
      <c r="B39" s="1387" t="str">
        <f>IF(D14+F14+H14+J14&gt;1,"WARNING!  Too many options selected in Row 6"," ")</f>
        <v xml:space="preserve"> </v>
      </c>
      <c r="C39" s="1405"/>
      <c r="D39" s="1142"/>
      <c r="E39" s="1142"/>
      <c r="F39" s="1142"/>
      <c r="G39" s="1142"/>
      <c r="H39" s="1142"/>
      <c r="I39" s="1142"/>
      <c r="J39" s="1143"/>
    </row>
    <row r="40" spans="2:10" ht="15.75" customHeight="1">
      <c r="B40" s="1387" t="str">
        <f>IF(D15+F15+H15+J15&gt;1,"WARNING!  Too many options selected in Row 7"," ")</f>
        <v xml:space="preserve"> </v>
      </c>
      <c r="C40" s="1405"/>
      <c r="D40" s="1142"/>
      <c r="E40" s="1142"/>
      <c r="F40" s="1142"/>
      <c r="G40" s="1142"/>
      <c r="H40" s="1142"/>
      <c r="I40" s="1142"/>
      <c r="J40" s="1143"/>
    </row>
    <row r="41" spans="2:10" ht="15.75" customHeight="1">
      <c r="B41" s="1387" t="str">
        <f>IF(D16+F16+H16+J16&gt;1,"WARNING!  Too many options selected in Row 8"," ")</f>
        <v xml:space="preserve"> </v>
      </c>
      <c r="C41" s="1405"/>
      <c r="D41" s="1142"/>
      <c r="E41" s="1142"/>
      <c r="F41" s="1142"/>
      <c r="G41" s="1142"/>
      <c r="H41" s="1142"/>
      <c r="I41" s="1142"/>
      <c r="J41" s="1143"/>
    </row>
    <row r="42" spans="2:10" ht="15.75" customHeight="1">
      <c r="B42" s="1387" t="str">
        <f>IF(D17+F17+H17+J17&gt;1,"WARNING!  Too many options selected in Row 9"," ")</f>
        <v xml:space="preserve"> </v>
      </c>
      <c r="C42" s="1405"/>
      <c r="D42" s="1142"/>
      <c r="E42" s="1142"/>
      <c r="F42" s="1142"/>
      <c r="G42" s="1142"/>
      <c r="H42" s="1142"/>
      <c r="I42" s="1142"/>
      <c r="J42" s="1143"/>
    </row>
    <row r="43" spans="2:10" ht="15.75" customHeight="1">
      <c r="B43" s="1387" t="str">
        <f>IF(D19+F19+H19+J19&gt;1,"WARNING!  Too many options selected in Row 10"," ")</f>
        <v xml:space="preserve"> </v>
      </c>
      <c r="C43" s="1405"/>
      <c r="D43" s="1142"/>
      <c r="E43" s="1142"/>
      <c r="F43" s="1142"/>
      <c r="G43" s="1142"/>
      <c r="H43" s="1142"/>
      <c r="I43" s="1142"/>
      <c r="J43" s="1143"/>
    </row>
    <row r="44" spans="2:10" ht="15.75" customHeight="1">
      <c r="B44" s="1387" t="str">
        <f>IF(D20+F20+H20+J20&gt;1,"WARNING!  Too many options selected in Row 11"," ")</f>
        <v xml:space="preserve"> </v>
      </c>
      <c r="C44" s="1405"/>
      <c r="D44" s="1142"/>
      <c r="E44" s="1142"/>
      <c r="F44" s="1142"/>
      <c r="G44" s="1142"/>
      <c r="H44" s="1142"/>
      <c r="I44" s="1142"/>
      <c r="J44" s="1143"/>
    </row>
    <row r="45" spans="2:10" ht="15.75" customHeight="1">
      <c r="B45" s="1387" t="str">
        <f>IF(D22+F22+H22+J22&gt;1,"WARNING!  Too many options selected in Row 12"," ")</f>
        <v xml:space="preserve"> </v>
      </c>
      <c r="C45" s="1405"/>
      <c r="D45" s="1142"/>
      <c r="E45" s="1142"/>
      <c r="F45" s="1142"/>
      <c r="G45" s="1142"/>
      <c r="H45" s="1142"/>
      <c r="I45" s="1142"/>
      <c r="J45" s="1143"/>
    </row>
    <row r="46" spans="2:10" ht="15.75" customHeight="1">
      <c r="B46" s="1387" t="str">
        <f>IF(D23+F23+H23+J23&gt;1,"WARNING!  Too many options selected in Row 13"," ")</f>
        <v xml:space="preserve"> </v>
      </c>
      <c r="C46" s="1405"/>
      <c r="D46" s="1142"/>
      <c r="E46" s="1142"/>
      <c r="F46" s="1142"/>
      <c r="G46" s="1142"/>
      <c r="H46" s="1142"/>
      <c r="I46" s="1142"/>
      <c r="J46" s="1143"/>
    </row>
    <row r="47" spans="2:10" ht="15.75" customHeight="1">
      <c r="B47" s="1387" t="str">
        <f>IF(D25+F25+H25+J25&gt;1,"WARNING!  Too many options selected in Row 14"," ")</f>
        <v xml:space="preserve"> </v>
      </c>
      <c r="C47" s="1405"/>
      <c r="D47" s="1142"/>
      <c r="E47" s="1142"/>
      <c r="F47" s="1142"/>
      <c r="G47" s="1142"/>
      <c r="H47" s="1142"/>
      <c r="I47" s="1142"/>
      <c r="J47" s="1143"/>
    </row>
    <row r="48" spans="2:10" ht="15.75" customHeight="1">
      <c r="B48" s="1387" t="str">
        <f>IF(D26+F26+H26+J26&gt;1,"WARNING!  Too many options selected in Row 15"," ")</f>
        <v xml:space="preserve"> </v>
      </c>
      <c r="C48" s="1405"/>
      <c r="D48" s="1142"/>
      <c r="E48" s="1142"/>
      <c r="F48" s="1142"/>
      <c r="G48" s="1142"/>
      <c r="H48" s="1142"/>
      <c r="I48" s="1142"/>
      <c r="J48" s="1143"/>
    </row>
    <row r="49" spans="2:10" ht="15.75" customHeight="1" thickBot="1">
      <c r="B49" s="1363" t="str">
        <f>IF(D27+F27+H27+J27&gt;1,"WARNING!  Too many options selected in Row 16"," ")</f>
        <v xml:space="preserve"> </v>
      </c>
      <c r="C49" s="1364"/>
      <c r="D49" s="1145"/>
      <c r="E49" s="1145"/>
      <c r="F49" s="1145"/>
      <c r="G49" s="1145"/>
      <c r="H49" s="1145"/>
      <c r="I49" s="1145"/>
      <c r="J49" s="1146"/>
    </row>
  </sheetData>
  <mergeCells count="31">
    <mergeCell ref="B32:H32"/>
    <mergeCell ref="B30:H30"/>
    <mergeCell ref="I30:J30"/>
    <mergeCell ref="I32:J32"/>
    <mergeCell ref="B10:J10"/>
    <mergeCell ref="B12:J12"/>
    <mergeCell ref="B18:J18"/>
    <mergeCell ref="B21:J21"/>
    <mergeCell ref="B24:J24"/>
    <mergeCell ref="L2:Q2"/>
    <mergeCell ref="C5:D5"/>
    <mergeCell ref="E5:J5"/>
    <mergeCell ref="B2:J2"/>
    <mergeCell ref="B6:J6"/>
    <mergeCell ref="L3:Q5"/>
    <mergeCell ref="B34:J34"/>
    <mergeCell ref="B42:J42"/>
    <mergeCell ref="B43:J43"/>
    <mergeCell ref="B44:J44"/>
    <mergeCell ref="B45:J45"/>
    <mergeCell ref="B46:J46"/>
    <mergeCell ref="B47:J47"/>
    <mergeCell ref="B48:J48"/>
    <mergeCell ref="B49:J49"/>
    <mergeCell ref="B35:J35"/>
    <mergeCell ref="B36:J36"/>
    <mergeCell ref="B37:J37"/>
    <mergeCell ref="B38:J38"/>
    <mergeCell ref="B39:J39"/>
    <mergeCell ref="B40:J40"/>
    <mergeCell ref="B41:J41"/>
  </mergeCells>
  <pageMargins left="0.70866141732283472" right="0.70866141732283472" top="0.74803149606299213" bottom="0.74803149606299213" header="0" footer="0"/>
  <pageSetup paperSize="5" scale="1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9E0FF"/>
  </sheetPr>
  <dimension ref="B2:G42"/>
  <sheetViews>
    <sheetView zoomScale="62" zoomScaleNormal="62" workbookViewId="0">
      <selection activeCell="M26" sqref="M26"/>
    </sheetView>
  </sheetViews>
  <sheetFormatPr defaultColWidth="14.42578125" defaultRowHeight="15" customHeight="1"/>
  <cols>
    <col min="1" max="1" width="1.85546875" customWidth="1"/>
    <col min="2" max="2" width="53.140625" customWidth="1"/>
    <col min="3" max="4" width="8.140625" customWidth="1"/>
    <col min="5" max="5" width="54.5703125" customWidth="1"/>
    <col min="6" max="6" width="1.140625" customWidth="1"/>
    <col min="7" max="7" width="22.140625" customWidth="1"/>
    <col min="8" max="26" width="8.85546875" customWidth="1"/>
  </cols>
  <sheetData>
    <row r="2" spans="2:7" ht="22.5" customHeight="1">
      <c r="B2" s="1435" t="s">
        <v>348</v>
      </c>
      <c r="C2" s="1086"/>
      <c r="D2" s="1086"/>
      <c r="E2" s="1086"/>
      <c r="F2" s="1"/>
      <c r="G2" s="204"/>
    </row>
    <row r="3" spans="2:7" ht="10.5" customHeight="1">
      <c r="B3" s="1436"/>
      <c r="C3" s="1086"/>
      <c r="D3" s="1086"/>
      <c r="E3" s="1086"/>
      <c r="F3" s="1"/>
      <c r="G3" s="204"/>
    </row>
    <row r="4" spans="2:7" ht="39" customHeight="1">
      <c r="B4" s="598"/>
      <c r="C4" s="66" t="s">
        <v>29</v>
      </c>
      <c r="D4" s="90" t="s">
        <v>30</v>
      </c>
      <c r="E4" s="521" t="s">
        <v>31</v>
      </c>
      <c r="F4" s="1"/>
      <c r="G4" s="204"/>
    </row>
    <row r="5" spans="2:7" ht="15" customHeight="1">
      <c r="B5" s="1432" t="s">
        <v>349</v>
      </c>
      <c r="C5" s="1081"/>
      <c r="D5" s="1081"/>
      <c r="E5" s="1082"/>
      <c r="F5" s="1"/>
      <c r="G5" s="1070" t="s">
        <v>350</v>
      </c>
    </row>
    <row r="6" spans="2:7">
      <c r="B6" s="599" t="s">
        <v>217</v>
      </c>
      <c r="C6" s="105">
        <v>0</v>
      </c>
      <c r="D6" s="76"/>
      <c r="E6" s="1429"/>
      <c r="F6" s="1"/>
      <c r="G6" s="1063"/>
    </row>
    <row r="7" spans="2:7">
      <c r="B7" s="599" t="s">
        <v>78</v>
      </c>
      <c r="C7" s="105">
        <v>1</v>
      </c>
      <c r="D7" s="72">
        <f>'1 Documents'!G11</f>
        <v>1</v>
      </c>
      <c r="E7" s="1197"/>
      <c r="F7" s="1"/>
      <c r="G7" s="1064"/>
    </row>
    <row r="8" spans="2:7">
      <c r="B8" s="599" t="s">
        <v>79</v>
      </c>
      <c r="C8" s="105">
        <v>2</v>
      </c>
      <c r="D8" s="73"/>
      <c r="E8" s="1192"/>
      <c r="F8" s="1"/>
      <c r="G8" s="204"/>
    </row>
    <row r="9" spans="2:7">
      <c r="B9" s="1432" t="s">
        <v>351</v>
      </c>
      <c r="C9" s="1081"/>
      <c r="D9" s="1081"/>
      <c r="E9" s="1082"/>
      <c r="F9" s="1"/>
      <c r="G9" s="1070" t="s">
        <v>352</v>
      </c>
    </row>
    <row r="10" spans="2:7">
      <c r="B10" s="190" t="s">
        <v>217</v>
      </c>
      <c r="C10" s="105">
        <v>0</v>
      </c>
      <c r="D10" s="70"/>
      <c r="E10" s="1433"/>
      <c r="F10" s="1"/>
      <c r="G10" s="1063"/>
    </row>
    <row r="11" spans="2:7">
      <c r="B11" s="599" t="s">
        <v>78</v>
      </c>
      <c r="C11" s="105">
        <v>4</v>
      </c>
      <c r="D11" s="72">
        <f>'2 O&amp;M'!G18</f>
        <v>7</v>
      </c>
      <c r="E11" s="1197"/>
      <c r="F11" s="1"/>
      <c r="G11" s="1064"/>
    </row>
    <row r="12" spans="2:7">
      <c r="B12" s="599" t="s">
        <v>79</v>
      </c>
      <c r="C12" s="105">
        <v>8</v>
      </c>
      <c r="D12" s="73"/>
      <c r="E12" s="1192"/>
      <c r="F12" s="1"/>
      <c r="G12" s="204"/>
    </row>
    <row r="13" spans="2:7">
      <c r="B13" s="1434" t="s">
        <v>560</v>
      </c>
      <c r="C13" s="1081"/>
      <c r="D13" s="1081"/>
      <c r="E13" s="1082"/>
      <c r="F13" s="1"/>
      <c r="G13" s="1070" t="s">
        <v>353</v>
      </c>
    </row>
    <row r="14" spans="2:7" ht="26.25">
      <c r="B14" s="600" t="s">
        <v>354</v>
      </c>
      <c r="C14" s="105">
        <v>0</v>
      </c>
      <c r="D14" s="76"/>
      <c r="E14" s="1429"/>
      <c r="F14" s="1"/>
      <c r="G14" s="1063"/>
    </row>
    <row r="15" spans="2:7">
      <c r="B15" s="599" t="s">
        <v>355</v>
      </c>
      <c r="C15" s="105">
        <v>4</v>
      </c>
      <c r="D15" s="72">
        <f>'3 EAP'!D14</f>
        <v>4</v>
      </c>
      <c r="E15" s="1197"/>
      <c r="F15" s="1"/>
      <c r="G15" s="1064"/>
    </row>
    <row r="16" spans="2:7">
      <c r="B16" s="599" t="s">
        <v>356</v>
      </c>
      <c r="C16" s="105">
        <v>8</v>
      </c>
      <c r="D16" s="77"/>
      <c r="E16" s="1192"/>
      <c r="F16" s="1"/>
      <c r="G16" s="204"/>
    </row>
    <row r="17" spans="2:7">
      <c r="B17" s="1430" t="s">
        <v>357</v>
      </c>
      <c r="C17" s="1081"/>
      <c r="D17" s="1081"/>
      <c r="E17" s="1082"/>
      <c r="F17" s="1"/>
      <c r="G17" s="1070" t="s">
        <v>358</v>
      </c>
    </row>
    <row r="18" spans="2:7">
      <c r="B18" s="190" t="s">
        <v>217</v>
      </c>
      <c r="C18" s="105">
        <v>0</v>
      </c>
      <c r="D18" s="70"/>
      <c r="E18" s="1429"/>
      <c r="F18" s="1"/>
      <c r="G18" s="1063"/>
    </row>
    <row r="19" spans="2:7">
      <c r="B19" s="599" t="s">
        <v>78</v>
      </c>
      <c r="C19" s="105">
        <v>1</v>
      </c>
      <c r="D19" s="72">
        <f>'4 Organization'!G14</f>
        <v>1.6666666666666665</v>
      </c>
      <c r="E19" s="1197"/>
      <c r="F19" s="1"/>
      <c r="G19" s="1064"/>
    </row>
    <row r="20" spans="2:7">
      <c r="B20" s="599" t="s">
        <v>79</v>
      </c>
      <c r="C20" s="105">
        <v>3</v>
      </c>
      <c r="D20" s="73"/>
      <c r="E20" s="1192"/>
      <c r="F20" s="1"/>
      <c r="G20" s="204"/>
    </row>
    <row r="21" spans="2:7" ht="15.75" customHeight="1">
      <c r="B21" s="1430" t="s">
        <v>359</v>
      </c>
      <c r="C21" s="1081"/>
      <c r="D21" s="1081"/>
      <c r="E21" s="1082"/>
      <c r="F21" s="1"/>
      <c r="G21" s="1070" t="s">
        <v>360</v>
      </c>
    </row>
    <row r="22" spans="2:7" ht="15.75" customHeight="1">
      <c r="B22" s="601" t="s">
        <v>361</v>
      </c>
      <c r="C22" s="522">
        <v>0</v>
      </c>
      <c r="D22" s="76"/>
      <c r="E22" s="1429"/>
      <c r="F22" s="1"/>
      <c r="G22" s="1063"/>
    </row>
    <row r="23" spans="2:7" ht="15.75" customHeight="1">
      <c r="B23" s="190" t="s">
        <v>362</v>
      </c>
      <c r="C23" s="105">
        <v>2</v>
      </c>
      <c r="D23" s="96"/>
      <c r="E23" s="1197"/>
      <c r="F23" s="1"/>
      <c r="G23" s="1064"/>
    </row>
    <row r="24" spans="2:7" ht="15.75" customHeight="1">
      <c r="B24" s="280" t="s">
        <v>363</v>
      </c>
      <c r="C24" s="82">
        <v>4</v>
      </c>
      <c r="D24" s="392">
        <f>'5 Inspections'!I14</f>
        <v>3</v>
      </c>
      <c r="E24" s="1197"/>
      <c r="F24" s="1"/>
      <c r="G24" s="204"/>
    </row>
    <row r="25" spans="2:7" ht="15.75" customHeight="1">
      <c r="B25" s="280" t="s">
        <v>364</v>
      </c>
      <c r="C25" s="82">
        <v>7</v>
      </c>
      <c r="D25" s="77"/>
      <c r="E25" s="1192"/>
      <c r="F25" s="1"/>
      <c r="G25" s="204"/>
    </row>
    <row r="26" spans="2:7" ht="15.75" customHeight="1">
      <c r="B26" s="1430" t="s">
        <v>365</v>
      </c>
      <c r="C26" s="1081"/>
      <c r="D26" s="1081"/>
      <c r="E26" s="1082"/>
      <c r="F26" s="1"/>
      <c r="G26" s="1070" t="s">
        <v>366</v>
      </c>
    </row>
    <row r="27" spans="2:7" ht="38.25">
      <c r="B27" s="190" t="s">
        <v>367</v>
      </c>
      <c r="C27" s="82">
        <v>0</v>
      </c>
      <c r="D27" s="602"/>
      <c r="E27" s="1428" t="s">
        <v>368</v>
      </c>
      <c r="F27" s="1"/>
      <c r="G27" s="1063"/>
    </row>
    <row r="28" spans="2:7" ht="25.5">
      <c r="B28" s="190" t="s">
        <v>369</v>
      </c>
      <c r="C28" s="82">
        <v>2</v>
      </c>
      <c r="D28" s="392">
        <f>'6 DS Reports'!G14</f>
        <v>2.6666666666666665</v>
      </c>
      <c r="E28" s="1197"/>
      <c r="F28" s="1"/>
      <c r="G28" s="1064"/>
    </row>
    <row r="29" spans="2:7">
      <c r="B29" s="190" t="s">
        <v>370</v>
      </c>
      <c r="C29" s="82">
        <v>6</v>
      </c>
      <c r="D29" s="106"/>
      <c r="E29" s="1192"/>
      <c r="F29" s="1"/>
      <c r="G29" s="204"/>
    </row>
    <row r="30" spans="2:7" ht="15.75" customHeight="1">
      <c r="B30" s="1430" t="s">
        <v>371</v>
      </c>
      <c r="C30" s="1081"/>
      <c r="D30" s="1081"/>
      <c r="E30" s="1082"/>
      <c r="F30" s="1"/>
      <c r="G30" s="1070" t="s">
        <v>372</v>
      </c>
    </row>
    <row r="31" spans="2:7" ht="15.75" customHeight="1">
      <c r="B31" s="190" t="s">
        <v>373</v>
      </c>
      <c r="C31" s="105">
        <v>0</v>
      </c>
      <c r="D31" s="76"/>
      <c r="E31" s="1429"/>
      <c r="F31" s="1"/>
      <c r="G31" s="1063"/>
    </row>
    <row r="32" spans="2:7" ht="15.75" customHeight="1">
      <c r="B32" s="190" t="s">
        <v>374</v>
      </c>
      <c r="C32" s="105">
        <v>4</v>
      </c>
      <c r="D32" s="96"/>
      <c r="E32" s="1197"/>
      <c r="F32" s="116"/>
      <c r="G32" s="1064"/>
    </row>
    <row r="33" spans="2:7" ht="15.75" customHeight="1">
      <c r="B33" s="190" t="s">
        <v>375</v>
      </c>
      <c r="C33" s="82">
        <v>9</v>
      </c>
      <c r="D33" s="880">
        <f>'7 Follow up'!I13</f>
        <v>4</v>
      </c>
      <c r="E33" s="1197"/>
      <c r="F33" s="1"/>
      <c r="G33" s="204"/>
    </row>
    <row r="34" spans="2:7" ht="15.75" customHeight="1">
      <c r="B34" s="190" t="s">
        <v>376</v>
      </c>
      <c r="C34" s="82">
        <v>16</v>
      </c>
      <c r="D34" s="77"/>
      <c r="E34" s="1192"/>
      <c r="F34" s="1"/>
      <c r="G34" s="204"/>
    </row>
    <row r="35" spans="2:7" ht="19.5" customHeight="1">
      <c r="B35" s="1430" t="s">
        <v>377</v>
      </c>
      <c r="C35" s="1081"/>
      <c r="D35" s="1081"/>
      <c r="E35" s="1082"/>
      <c r="F35" s="1"/>
      <c r="G35" s="1070" t="s">
        <v>378</v>
      </c>
    </row>
    <row r="36" spans="2:7" ht="26.25" customHeight="1">
      <c r="B36" s="280" t="s">
        <v>379</v>
      </c>
      <c r="C36" s="105">
        <v>0</v>
      </c>
      <c r="D36" s="1431">
        <f>'8 River System ops'!G29</f>
        <v>18</v>
      </c>
      <c r="E36" s="1429"/>
      <c r="F36" s="1"/>
      <c r="G36" s="1063"/>
    </row>
    <row r="37" spans="2:7" ht="15.75" customHeight="1">
      <c r="B37" s="280" t="s">
        <v>380</v>
      </c>
      <c r="C37" s="105">
        <v>9</v>
      </c>
      <c r="D37" s="1197"/>
      <c r="E37" s="1197"/>
      <c r="F37" s="116"/>
      <c r="G37" s="1064"/>
    </row>
    <row r="38" spans="2:7" ht="15.75" customHeight="1">
      <c r="B38" s="280" t="s">
        <v>381</v>
      </c>
      <c r="C38" s="82">
        <v>18</v>
      </c>
      <c r="D38" s="1192"/>
      <c r="E38" s="1192"/>
      <c r="F38" s="1"/>
      <c r="G38" s="204"/>
    </row>
    <row r="39" spans="2:7" ht="15.75" customHeight="1">
      <c r="B39" s="603"/>
      <c r="C39" s="604"/>
      <c r="D39" s="605"/>
      <c r="E39" s="606"/>
      <c r="F39" s="1"/>
      <c r="G39" s="204"/>
    </row>
    <row r="40" spans="2:7" ht="24.75" customHeight="1">
      <c r="B40" s="607" t="s">
        <v>382</v>
      </c>
      <c r="C40" s="608">
        <f>D7+D11+D15+D19+D24+D28+D33+D36</f>
        <v>41.333333333333329</v>
      </c>
      <c r="D40" s="224"/>
      <c r="E40" s="609"/>
      <c r="F40" s="1"/>
      <c r="G40" s="204"/>
    </row>
    <row r="41" spans="2:7" ht="8.25" customHeight="1">
      <c r="B41" s="324"/>
      <c r="C41" s="224"/>
      <c r="D41" s="224"/>
      <c r="E41" s="597"/>
      <c r="F41" s="1"/>
      <c r="G41" s="204"/>
    </row>
    <row r="42" spans="2:7" ht="24.75" customHeight="1">
      <c r="B42" s="117" t="s">
        <v>82</v>
      </c>
      <c r="C42" s="610">
        <f>MAX(C6:C8)+MAX(C10:C12)+MAX(C14:C16)+MAX(C18:C20)+MAX(C22:C25)+MAX(C27:C29)+MAX(I10:I11)+MAX(C36:C38)+MAX(C31:C34)</f>
        <v>68</v>
      </c>
      <c r="D42" s="224"/>
      <c r="E42" s="597"/>
      <c r="F42" s="1"/>
      <c r="G42" s="204"/>
    </row>
  </sheetData>
  <mergeCells count="27">
    <mergeCell ref="B2:E2"/>
    <mergeCell ref="B3:E3"/>
    <mergeCell ref="B5:E5"/>
    <mergeCell ref="G5:G7"/>
    <mergeCell ref="E6:E8"/>
    <mergeCell ref="B9:E9"/>
    <mergeCell ref="G9:G11"/>
    <mergeCell ref="G17:G19"/>
    <mergeCell ref="G21:G23"/>
    <mergeCell ref="E22:E25"/>
    <mergeCell ref="E10:E12"/>
    <mergeCell ref="B13:E13"/>
    <mergeCell ref="G13:G15"/>
    <mergeCell ref="E14:E16"/>
    <mergeCell ref="B17:E17"/>
    <mergeCell ref="E18:E20"/>
    <mergeCell ref="B21:E21"/>
    <mergeCell ref="G26:G28"/>
    <mergeCell ref="E27:E29"/>
    <mergeCell ref="G30:G32"/>
    <mergeCell ref="E31:E34"/>
    <mergeCell ref="G35:G37"/>
    <mergeCell ref="B26:E26"/>
    <mergeCell ref="B30:E30"/>
    <mergeCell ref="B35:E35"/>
    <mergeCell ref="D36:D38"/>
    <mergeCell ref="E36:E38"/>
  </mergeCells>
  <dataValidations count="4">
    <dataValidation type="decimal" allowBlank="1" showErrorMessage="1" sqref="D6:D8 D10 D14:D16 D18 D20 D27 D29">
      <formula1>C6</formula1>
      <formula2>C8</formula2>
    </dataValidation>
    <dataValidation type="decimal" allowBlank="1" showErrorMessage="1" sqref="D22:D25 D39 D31 D34">
      <formula1>C22</formula1>
      <formula2>C25</formula2>
    </dataValidation>
    <dataValidation type="custom" allowBlank="1" showErrorMessage="1" sqref="D36">
      <formula1>C37</formula1>
    </dataValidation>
    <dataValidation type="decimal" allowBlank="1" showErrorMessage="1" sqref="D32">
      <formula1>C33</formula1>
      <formula2>C36</formula2>
    </dataValidation>
  </dataValidations>
  <pageMargins left="0.7" right="0.7" top="0.75" bottom="0.75" header="0" footer="0"/>
  <pageSetup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9E0FF"/>
    <pageSetUpPr fitToPage="1"/>
  </sheetPr>
  <dimension ref="B2:N13"/>
  <sheetViews>
    <sheetView workbookViewId="0">
      <selection activeCell="E16" sqref="E16"/>
    </sheetView>
  </sheetViews>
  <sheetFormatPr defaultColWidth="14.42578125" defaultRowHeight="15" customHeight="1"/>
  <cols>
    <col min="1" max="1" width="3" customWidth="1"/>
    <col min="2" max="2" width="7.85546875" customWidth="1"/>
    <col min="3" max="3" width="22.5703125" customWidth="1"/>
    <col min="4" max="4" width="4.140625" customWidth="1"/>
    <col min="5" max="5" width="26.140625" customWidth="1"/>
    <col min="6" max="6" width="3.5703125" customWidth="1"/>
    <col min="7" max="7" width="24.5703125" customWidth="1"/>
    <col min="8" max="8" width="4" customWidth="1"/>
    <col min="9" max="9" width="3" customWidth="1"/>
    <col min="10" max="10" width="12.85546875" customWidth="1"/>
    <col min="11" max="11" width="9.140625" customWidth="1"/>
    <col min="12" max="12" width="24.85546875" customWidth="1"/>
    <col min="13" max="13" width="15.85546875" customWidth="1"/>
    <col min="14" max="26" width="9.140625" customWidth="1"/>
  </cols>
  <sheetData>
    <row r="2" spans="2:14" ht="21.75" customHeight="1">
      <c r="B2" s="1390" t="s">
        <v>383</v>
      </c>
      <c r="C2" s="1018"/>
      <c r="D2" s="1018"/>
      <c r="E2" s="1018"/>
      <c r="F2" s="1018"/>
      <c r="G2" s="1018"/>
      <c r="H2" s="1023"/>
      <c r="I2" s="569"/>
      <c r="J2" s="1437" t="s">
        <v>582</v>
      </c>
      <c r="K2" s="1354"/>
      <c r="L2" s="1354"/>
      <c r="M2" s="1354"/>
      <c r="N2" s="1355"/>
    </row>
    <row r="3" spans="2:14" ht="24" customHeight="1">
      <c r="B3" s="611" t="s">
        <v>384</v>
      </c>
      <c r="C3" s="612">
        <v>1</v>
      </c>
      <c r="D3" s="613">
        <v>2</v>
      </c>
      <c r="E3" s="613">
        <v>3</v>
      </c>
      <c r="F3" s="613">
        <v>4</v>
      </c>
      <c r="G3" s="613">
        <v>5</v>
      </c>
      <c r="H3" s="614">
        <v>6</v>
      </c>
      <c r="I3" s="123"/>
      <c r="J3" s="867"/>
      <c r="K3" s="868"/>
      <c r="L3" s="868"/>
      <c r="M3" s="868"/>
      <c r="N3" s="869"/>
    </row>
    <row r="4" spans="2:14" ht="25.5" customHeight="1">
      <c r="B4" s="1438"/>
      <c r="C4" s="174" t="s">
        <v>238</v>
      </c>
      <c r="D4" s="175">
        <f>SP!C6</f>
        <v>0</v>
      </c>
      <c r="E4" s="175" t="s">
        <v>385</v>
      </c>
      <c r="F4" s="175">
        <f>SP!C7</f>
        <v>1</v>
      </c>
      <c r="G4" s="176" t="s">
        <v>240</v>
      </c>
      <c r="H4" s="177">
        <f>SP!C8</f>
        <v>2</v>
      </c>
      <c r="I4" s="569"/>
      <c r="J4" s="486"/>
      <c r="K4" s="204"/>
      <c r="L4" s="204"/>
      <c r="M4" s="204"/>
      <c r="N4" s="463"/>
    </row>
    <row r="5" spans="2:14" ht="17.25" customHeight="1">
      <c r="B5" s="1197"/>
      <c r="C5" s="1330" t="s">
        <v>386</v>
      </c>
      <c r="D5" s="1082"/>
      <c r="E5" s="464" t="s">
        <v>387</v>
      </c>
      <c r="F5" s="464"/>
      <c r="G5" s="1332" t="s">
        <v>388</v>
      </c>
      <c r="H5" s="1098"/>
      <c r="I5" s="615"/>
      <c r="J5" s="488"/>
      <c r="K5" s="138"/>
      <c r="L5" s="138"/>
      <c r="M5" s="138"/>
      <c r="N5" s="465"/>
    </row>
    <row r="6" spans="2:14" ht="17.25" customHeight="1">
      <c r="B6" s="1192"/>
      <c r="C6" s="1439" t="s">
        <v>127</v>
      </c>
      <c r="D6" s="1082"/>
      <c r="E6" s="1250" t="s">
        <v>243</v>
      </c>
      <c r="F6" s="1081"/>
      <c r="G6" s="1081"/>
      <c r="H6" s="1098"/>
      <c r="I6" s="573"/>
      <c r="J6" s="488"/>
      <c r="K6" s="138"/>
      <c r="L6" s="138"/>
      <c r="M6" s="138"/>
      <c r="N6" s="465"/>
    </row>
    <row r="7" spans="2:14" ht="76.5">
      <c r="B7" s="273">
        <v>1</v>
      </c>
      <c r="C7" s="515" t="s">
        <v>389</v>
      </c>
      <c r="D7" s="616"/>
      <c r="E7" s="517" t="s">
        <v>390</v>
      </c>
      <c r="F7" s="616">
        <v>1</v>
      </c>
      <c r="G7" s="517" t="s">
        <v>391</v>
      </c>
      <c r="H7" s="617"/>
      <c r="I7" s="569"/>
      <c r="J7" s="486"/>
      <c r="K7" s="204"/>
      <c r="L7" s="204"/>
      <c r="M7" s="204"/>
      <c r="N7" s="463"/>
    </row>
    <row r="8" spans="2:14" ht="6.75" customHeight="1">
      <c r="B8" s="1"/>
      <c r="C8" s="24"/>
      <c r="D8" s="519"/>
      <c r="E8" s="519"/>
      <c r="F8" s="519"/>
      <c r="G8" s="224"/>
      <c r="H8" s="519"/>
      <c r="I8" s="569"/>
      <c r="J8" s="486"/>
      <c r="K8" s="204"/>
      <c r="L8" s="204"/>
      <c r="M8" s="204"/>
      <c r="N8" s="463"/>
    </row>
    <row r="9" spans="2:14" ht="24.75" customHeight="1">
      <c r="B9" s="1233" t="s">
        <v>119</v>
      </c>
      <c r="C9" s="1111"/>
      <c r="D9" s="1111"/>
      <c r="E9" s="1111"/>
      <c r="F9" s="1138"/>
      <c r="G9" s="1362">
        <f>D7*D4+F7*F4+H7*H4</f>
        <v>1</v>
      </c>
      <c r="H9" s="1138"/>
      <c r="I9" s="569"/>
      <c r="J9" s="486"/>
      <c r="K9" s="204"/>
      <c r="L9" s="204"/>
      <c r="M9" s="204"/>
      <c r="N9" s="463"/>
    </row>
    <row r="10" spans="2:14" ht="4.5" customHeight="1">
      <c r="B10" s="1"/>
      <c r="C10" s="24"/>
      <c r="D10" s="519"/>
      <c r="E10" s="519"/>
      <c r="F10" s="519"/>
      <c r="G10" s="224"/>
      <c r="H10" s="519"/>
      <c r="I10" s="569"/>
      <c r="J10" s="486"/>
      <c r="K10" s="204"/>
      <c r="L10" s="204"/>
      <c r="M10" s="204"/>
      <c r="N10" s="463"/>
    </row>
    <row r="11" spans="2:14" ht="24.75" customHeight="1">
      <c r="B11" s="1110" t="s">
        <v>120</v>
      </c>
      <c r="C11" s="1111"/>
      <c r="D11" s="1111"/>
      <c r="E11" s="1111"/>
      <c r="F11" s="1140"/>
      <c r="G11" s="1168">
        <f>G9</f>
        <v>1</v>
      </c>
      <c r="H11" s="1138"/>
      <c r="I11" s="569"/>
      <c r="J11" s="561"/>
      <c r="K11" s="562"/>
      <c r="L11" s="562"/>
      <c r="M11" s="562"/>
      <c r="N11" s="563"/>
    </row>
    <row r="12" spans="2:14" ht="6" customHeight="1">
      <c r="B12" s="618"/>
      <c r="C12" s="618"/>
      <c r="D12" s="619"/>
      <c r="E12" s="619"/>
      <c r="F12" s="619"/>
      <c r="G12" s="618"/>
      <c r="H12" s="619"/>
      <c r="I12" s="569"/>
      <c r="J12" s="1"/>
      <c r="K12" s="1"/>
      <c r="L12" s="1"/>
      <c r="M12" s="1"/>
      <c r="N12" s="1"/>
    </row>
    <row r="13" spans="2:14" ht="16.5" customHeight="1">
      <c r="B13" s="1440" t="str">
        <f>IF(SUM(D7:H7)&gt;1,"WARNING! Too many options selected for Row 1","")</f>
        <v/>
      </c>
      <c r="C13" s="1081"/>
      <c r="D13" s="1081"/>
      <c r="E13" s="1081"/>
      <c r="F13" s="1081"/>
      <c r="G13" s="1081"/>
      <c r="H13" s="1082"/>
      <c r="I13" s="620"/>
      <c r="J13" s="1"/>
      <c r="K13" s="1"/>
      <c r="L13" s="1"/>
      <c r="M13" s="1"/>
      <c r="N13" s="1"/>
    </row>
  </sheetData>
  <mergeCells count="12">
    <mergeCell ref="B9:F9"/>
    <mergeCell ref="G9:H9"/>
    <mergeCell ref="B11:F11"/>
    <mergeCell ref="G11:H11"/>
    <mergeCell ref="B13:H13"/>
    <mergeCell ref="B2:H2"/>
    <mergeCell ref="J2:N2"/>
    <mergeCell ref="B4:B6"/>
    <mergeCell ref="C5:D5"/>
    <mergeCell ref="G5:H5"/>
    <mergeCell ref="C6:D6"/>
    <mergeCell ref="E6:H6"/>
  </mergeCells>
  <pageMargins left="0.70866141732283472" right="0.70866141732283472" top="0.74803149606299213" bottom="0.74803149606299213" header="0" footer="0"/>
  <pageSetup paperSize="5"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9E0FF"/>
    <pageSetUpPr fitToPage="1"/>
  </sheetPr>
  <dimension ref="B2:O20"/>
  <sheetViews>
    <sheetView zoomScale="81" zoomScaleNormal="81" workbookViewId="0">
      <selection activeCell="I21" sqref="I21"/>
    </sheetView>
  </sheetViews>
  <sheetFormatPr defaultColWidth="14.42578125" defaultRowHeight="15" customHeight="1"/>
  <cols>
    <col min="1" max="1" width="5.140625" customWidth="1"/>
    <col min="2" max="2" width="7.140625" customWidth="1"/>
    <col min="3" max="3" width="38.85546875" customWidth="1"/>
    <col min="4" max="4" width="3.5703125" customWidth="1"/>
    <col min="5" max="5" width="42.5703125" customWidth="1"/>
    <col min="6" max="6" width="3.5703125" customWidth="1"/>
    <col min="7" max="7" width="34.85546875" customWidth="1"/>
    <col min="8" max="8" width="3.140625" customWidth="1"/>
    <col min="9" max="9" width="1.85546875" customWidth="1"/>
    <col min="10" max="10" width="9.140625" customWidth="1"/>
    <col min="11" max="11" width="22" customWidth="1"/>
    <col min="12" max="13" width="9.140625" customWidth="1"/>
    <col min="14" max="14" width="14" customWidth="1"/>
    <col min="15" max="26" width="9.140625" customWidth="1"/>
  </cols>
  <sheetData>
    <row r="2" spans="2:15" ht="21" customHeight="1">
      <c r="B2" s="1348" t="s">
        <v>392</v>
      </c>
      <c r="C2" s="1090"/>
      <c r="D2" s="1090"/>
      <c r="E2" s="1090"/>
      <c r="F2" s="1090"/>
      <c r="G2" s="1090"/>
      <c r="H2" s="1091"/>
      <c r="I2" s="1"/>
      <c r="J2" s="1437" t="s">
        <v>582</v>
      </c>
      <c r="K2" s="1354"/>
      <c r="L2" s="1354"/>
      <c r="M2" s="1354"/>
      <c r="N2" s="1354"/>
      <c r="O2" s="1355"/>
    </row>
    <row r="3" spans="2:15" ht="15.75">
      <c r="B3" s="621" t="s">
        <v>121</v>
      </c>
      <c r="C3" s="575">
        <v>1</v>
      </c>
      <c r="D3" s="175">
        <v>2</v>
      </c>
      <c r="E3" s="622">
        <v>3</v>
      </c>
      <c r="F3" s="175">
        <v>4</v>
      </c>
      <c r="G3" s="175">
        <v>5</v>
      </c>
      <c r="H3" s="177">
        <v>6</v>
      </c>
      <c r="I3" s="10"/>
      <c r="J3" s="565"/>
      <c r="K3" s="566"/>
      <c r="L3" s="566"/>
      <c r="M3" s="566"/>
      <c r="N3" s="566"/>
      <c r="O3" s="567"/>
    </row>
    <row r="4" spans="2:15" ht="25.5" customHeight="1">
      <c r="B4" s="484"/>
      <c r="C4" s="485" t="s">
        <v>238</v>
      </c>
      <c r="D4" s="175">
        <f>SP!C10</f>
        <v>0</v>
      </c>
      <c r="E4" s="176"/>
      <c r="F4" s="175"/>
      <c r="G4" s="174" t="s">
        <v>240</v>
      </c>
      <c r="H4" s="177">
        <f>SP!C12</f>
        <v>8</v>
      </c>
      <c r="I4" s="60"/>
      <c r="J4" s="486"/>
      <c r="K4" s="204"/>
      <c r="L4" s="204"/>
      <c r="M4" s="204"/>
      <c r="N4" s="204"/>
      <c r="O4" s="463"/>
    </row>
    <row r="5" spans="2:15" ht="45" customHeight="1">
      <c r="B5" s="623"/>
      <c r="C5" s="175" t="s">
        <v>393</v>
      </c>
      <c r="D5" s="624"/>
      <c r="E5" s="175" t="s">
        <v>394</v>
      </c>
      <c r="F5" s="175"/>
      <c r="G5" s="1250" t="s">
        <v>395</v>
      </c>
      <c r="H5" s="1098"/>
      <c r="I5" s="1"/>
      <c r="J5" s="625"/>
      <c r="K5" s="626"/>
      <c r="L5" s="626"/>
      <c r="M5" s="626"/>
      <c r="N5" s="626"/>
      <c r="O5" s="627"/>
    </row>
    <row r="6" spans="2:15" ht="19.5" customHeight="1">
      <c r="B6" s="549" t="s">
        <v>126</v>
      </c>
      <c r="C6" s="1194" t="s">
        <v>127</v>
      </c>
      <c r="D6" s="1082"/>
      <c r="E6" s="1441" t="s">
        <v>396</v>
      </c>
      <c r="F6" s="1081"/>
      <c r="G6" s="1081"/>
      <c r="H6" s="1098"/>
      <c r="I6" s="457" t="s">
        <v>101</v>
      </c>
      <c r="J6" s="625"/>
      <c r="K6" s="626"/>
      <c r="L6" s="626"/>
      <c r="M6" s="626"/>
      <c r="N6" s="626"/>
      <c r="O6" s="627"/>
    </row>
    <row r="7" spans="2:15" ht="76.5">
      <c r="B7" s="157">
        <v>1</v>
      </c>
      <c r="C7" s="190" t="s">
        <v>918</v>
      </c>
      <c r="D7" s="630"/>
      <c r="E7" s="184" t="s">
        <v>397</v>
      </c>
      <c r="F7" s="631">
        <v>1</v>
      </c>
      <c r="G7" s="184" t="s">
        <v>398</v>
      </c>
      <c r="H7" s="632"/>
      <c r="I7" s="487"/>
      <c r="J7" s="486"/>
      <c r="K7" s="204"/>
      <c r="L7" s="204"/>
      <c r="M7" s="204"/>
      <c r="N7" s="204"/>
      <c r="O7" s="463"/>
    </row>
    <row r="8" spans="2:15" ht="25.5">
      <c r="B8" s="157">
        <v>2</v>
      </c>
      <c r="C8" s="195"/>
      <c r="D8" s="1442"/>
      <c r="E8" s="184" t="s">
        <v>399</v>
      </c>
      <c r="F8" s="188"/>
      <c r="G8" s="633"/>
      <c r="H8" s="384"/>
      <c r="I8" s="1"/>
      <c r="J8" s="486"/>
      <c r="K8" s="204"/>
      <c r="L8" s="204"/>
      <c r="M8" s="204"/>
      <c r="N8" s="204"/>
      <c r="O8" s="463"/>
    </row>
    <row r="9" spans="2:15">
      <c r="B9" s="157">
        <v>3</v>
      </c>
      <c r="C9" s="634"/>
      <c r="D9" s="1197"/>
      <c r="E9" s="375" t="s">
        <v>400</v>
      </c>
      <c r="F9" s="188"/>
      <c r="G9" s="633"/>
      <c r="H9" s="384"/>
      <c r="I9" s="226"/>
      <c r="J9" s="486"/>
      <c r="K9" s="204"/>
      <c r="L9" s="204"/>
      <c r="M9" s="204"/>
      <c r="N9" s="204"/>
      <c r="O9" s="463"/>
    </row>
    <row r="10" spans="2:15" ht="76.5">
      <c r="B10" s="157">
        <v>4</v>
      </c>
      <c r="C10" s="634"/>
      <c r="D10" s="1197"/>
      <c r="E10" s="184" t="s">
        <v>401</v>
      </c>
      <c r="F10" s="188"/>
      <c r="G10" s="633"/>
      <c r="H10" s="384"/>
      <c r="I10" s="24"/>
      <c r="J10" s="486"/>
      <c r="K10" s="204"/>
      <c r="L10" s="204"/>
      <c r="M10" s="204"/>
      <c r="N10" s="204"/>
      <c r="O10" s="463"/>
    </row>
    <row r="11" spans="2:15" ht="25.5">
      <c r="B11" s="157">
        <v>5</v>
      </c>
      <c r="C11" s="634"/>
      <c r="D11" s="1197"/>
      <c r="E11" s="375" t="s">
        <v>402</v>
      </c>
      <c r="F11" s="188"/>
      <c r="G11" s="633"/>
      <c r="H11" s="384"/>
      <c r="I11" s="496"/>
      <c r="J11" s="486"/>
      <c r="K11" s="204"/>
      <c r="L11" s="204"/>
      <c r="M11" s="204"/>
      <c r="N11" s="204"/>
      <c r="O11" s="463"/>
    </row>
    <row r="12" spans="2:15" ht="25.5">
      <c r="B12" s="157">
        <v>6</v>
      </c>
      <c r="C12" s="634"/>
      <c r="D12" s="1197"/>
      <c r="E12" s="529" t="s">
        <v>403</v>
      </c>
      <c r="F12" s="188"/>
      <c r="G12" s="633"/>
      <c r="H12" s="384"/>
      <c r="I12" s="472"/>
      <c r="J12" s="484"/>
      <c r="K12" s="1"/>
      <c r="L12" s="1"/>
      <c r="M12" s="1"/>
      <c r="N12" s="1"/>
      <c r="O12" s="308"/>
    </row>
    <row r="13" spans="2:15" ht="51">
      <c r="B13" s="157">
        <v>7</v>
      </c>
      <c r="C13" s="635"/>
      <c r="D13" s="1192"/>
      <c r="E13" s="636" t="s">
        <v>404</v>
      </c>
      <c r="F13" s="192"/>
      <c r="G13" s="637"/>
      <c r="H13" s="279"/>
      <c r="I13" s="472"/>
      <c r="J13" s="484"/>
      <c r="K13" s="1"/>
      <c r="L13" s="1"/>
      <c r="M13" s="1"/>
      <c r="N13" s="1"/>
      <c r="O13" s="308"/>
    </row>
    <row r="14" spans="2:15" ht="14.25" customHeight="1">
      <c r="B14" s="520"/>
      <c r="C14" s="638"/>
      <c r="D14" s="639">
        <f>SUM(D7:D13)</f>
        <v>0</v>
      </c>
      <c r="E14" s="493"/>
      <c r="F14" s="639">
        <f>SUM(F7:F13)</f>
        <v>1</v>
      </c>
      <c r="G14" s="408"/>
      <c r="H14" s="640">
        <f>SUM(H7:H13)</f>
        <v>0</v>
      </c>
      <c r="I14" s="1"/>
      <c r="J14" s="520"/>
      <c r="K14" s="477"/>
      <c r="L14" s="477"/>
      <c r="M14" s="477"/>
      <c r="N14" s="477"/>
      <c r="O14" s="478"/>
    </row>
    <row r="15" spans="2:15" ht="4.5" customHeight="1">
      <c r="B15" s="1"/>
      <c r="C15" s="301"/>
      <c r="D15" s="221"/>
      <c r="E15" s="519"/>
      <c r="F15" s="641"/>
      <c r="G15" s="224"/>
      <c r="H15" s="641"/>
      <c r="I15" s="1"/>
      <c r="J15" s="1"/>
      <c r="K15" s="1"/>
      <c r="L15" s="1"/>
      <c r="M15" s="1"/>
      <c r="N15" s="1"/>
      <c r="O15" s="1"/>
    </row>
    <row r="16" spans="2:15" ht="22.35" customHeight="1">
      <c r="B16" s="1233" t="s">
        <v>270</v>
      </c>
      <c r="C16" s="1111"/>
      <c r="D16" s="1111"/>
      <c r="E16" s="1111"/>
      <c r="F16" s="1138"/>
      <c r="G16" s="1362">
        <f>IF(D14+F14+H14=0,0,IF(D7=1,0,IF(H7=1,8,8-F14)))</f>
        <v>7</v>
      </c>
      <c r="H16" s="1138"/>
      <c r="I16" s="1"/>
    </row>
    <row r="18" spans="2:8" ht="22.35" customHeight="1">
      <c r="B18" s="1110" t="s">
        <v>120</v>
      </c>
      <c r="C18" s="1111"/>
      <c r="D18" s="1111"/>
      <c r="E18" s="1111"/>
      <c r="F18" s="1140"/>
      <c r="G18" s="1168">
        <f>G16</f>
        <v>7</v>
      </c>
      <c r="H18" s="1138"/>
    </row>
    <row r="19" spans="2:8">
      <c r="B19" s="1"/>
      <c r="C19" s="1"/>
      <c r="D19" s="214"/>
      <c r="E19" s="14"/>
      <c r="F19" s="214"/>
      <c r="G19" s="1"/>
      <c r="H19" s="214"/>
    </row>
    <row r="20" spans="2:8" ht="15.75">
      <c r="B20" s="1440" t="str">
        <f>IF(D7+F7+H7+J7&gt;1,"WARNING!  Too many options selected for Row 1"," ")</f>
        <v xml:space="preserve"> </v>
      </c>
      <c r="C20" s="1081"/>
      <c r="D20" s="1081"/>
      <c r="E20" s="1081"/>
      <c r="F20" s="1081"/>
      <c r="G20" s="1081"/>
      <c r="H20" s="1082"/>
    </row>
  </sheetData>
  <mergeCells count="11">
    <mergeCell ref="B16:F16"/>
    <mergeCell ref="B18:F18"/>
    <mergeCell ref="G18:H18"/>
    <mergeCell ref="B20:H20"/>
    <mergeCell ref="B2:H2"/>
    <mergeCell ref="G16:H16"/>
    <mergeCell ref="J2:O2"/>
    <mergeCell ref="G5:H5"/>
    <mergeCell ref="C6:D6"/>
    <mergeCell ref="E6:H6"/>
    <mergeCell ref="D8:D13"/>
  </mergeCells>
  <pageMargins left="0.70866141732283472" right="0.70866141732283472" top="0.74803149606299213" bottom="0.74803149606299213" header="0" footer="0"/>
  <pageSetup paperSize="5"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9E0FF"/>
    <pageSetUpPr fitToPage="1"/>
  </sheetPr>
  <dimension ref="B2:K17"/>
  <sheetViews>
    <sheetView workbookViewId="0">
      <selection activeCell="C8" sqref="C8"/>
    </sheetView>
  </sheetViews>
  <sheetFormatPr defaultColWidth="14.42578125" defaultRowHeight="15" customHeight="1"/>
  <cols>
    <col min="1" max="1" width="4.5703125" customWidth="1"/>
    <col min="2" max="2" width="7.85546875" customWidth="1"/>
    <col min="3" max="3" width="67" customWidth="1"/>
    <col min="4" max="4" width="4.85546875" customWidth="1"/>
    <col min="5" max="5" width="1.85546875" customWidth="1"/>
    <col min="6" max="6" width="22.85546875" customWidth="1"/>
    <col min="7" max="26" width="9.140625" customWidth="1"/>
  </cols>
  <sheetData>
    <row r="2" spans="2:11" ht="21.75" customHeight="1">
      <c r="B2" s="1348" t="s">
        <v>405</v>
      </c>
      <c r="C2" s="1090"/>
      <c r="D2" s="1091"/>
      <c r="E2" s="60"/>
      <c r="F2" s="1446" t="s">
        <v>696</v>
      </c>
      <c r="G2" s="1111"/>
      <c r="H2" s="1111"/>
      <c r="I2" s="1111"/>
      <c r="J2" s="1111"/>
      <c r="K2" s="1138"/>
    </row>
    <row r="3" spans="2:11" ht="47.25">
      <c r="B3" s="1447"/>
      <c r="C3" s="964" t="s">
        <v>919</v>
      </c>
      <c r="D3" s="642"/>
      <c r="E3" s="119"/>
      <c r="F3" s="1448"/>
      <c r="G3" s="1035"/>
      <c r="H3" s="1035"/>
      <c r="I3" s="1035"/>
      <c r="J3" s="1035"/>
      <c r="K3" s="1264"/>
    </row>
    <row r="4" spans="2:11" ht="15.75" customHeight="1">
      <c r="B4" s="1262"/>
      <c r="C4" s="575" t="s">
        <v>406</v>
      </c>
      <c r="D4" s="177"/>
      <c r="E4" s="628"/>
      <c r="F4" s="1242"/>
      <c r="G4" s="1045"/>
      <c r="H4" s="1045"/>
      <c r="I4" s="1045"/>
      <c r="J4" s="1045"/>
      <c r="K4" s="1076"/>
    </row>
    <row r="5" spans="2:11" ht="23.25" customHeight="1">
      <c r="B5" s="383" t="s">
        <v>407</v>
      </c>
      <c r="C5" s="90">
        <v>1</v>
      </c>
      <c r="D5" s="384">
        <v>2</v>
      </c>
      <c r="E5" s="32"/>
      <c r="F5" s="1242"/>
      <c r="G5" s="1045"/>
      <c r="H5" s="1045"/>
      <c r="I5" s="1045"/>
      <c r="J5" s="1045"/>
      <c r="K5" s="1076"/>
    </row>
    <row r="6" spans="2:11" ht="25.5">
      <c r="B6" s="643">
        <v>1</v>
      </c>
      <c r="C6" s="184" t="s">
        <v>408</v>
      </c>
      <c r="D6" s="644">
        <v>1</v>
      </c>
      <c r="E6" s="1"/>
      <c r="F6" s="1242"/>
      <c r="G6" s="1045"/>
      <c r="H6" s="1045"/>
      <c r="I6" s="1045"/>
      <c r="J6" s="1045"/>
      <c r="K6" s="1076"/>
    </row>
    <row r="7" spans="2:11" ht="25.5">
      <c r="B7" s="643">
        <v>2</v>
      </c>
      <c r="C7" s="190" t="s">
        <v>409</v>
      </c>
      <c r="D7" s="645">
        <v>1</v>
      </c>
      <c r="E7" s="1"/>
      <c r="F7" s="1242"/>
      <c r="G7" s="1045"/>
      <c r="H7" s="1045"/>
      <c r="I7" s="1045"/>
      <c r="J7" s="1045"/>
      <c r="K7" s="1076"/>
    </row>
    <row r="8" spans="2:11" ht="25.5">
      <c r="B8" s="643">
        <v>3</v>
      </c>
      <c r="C8" s="190" t="s">
        <v>410</v>
      </c>
      <c r="D8" s="645"/>
      <c r="E8" s="1"/>
      <c r="F8" s="1242"/>
      <c r="G8" s="1045"/>
      <c r="H8" s="1045"/>
      <c r="I8" s="1045"/>
      <c r="J8" s="1045"/>
      <c r="K8" s="1076"/>
    </row>
    <row r="9" spans="2:11" ht="54.75" customHeight="1">
      <c r="B9" s="643">
        <v>4</v>
      </c>
      <c r="C9" s="190" t="s">
        <v>411</v>
      </c>
      <c r="D9" s="646"/>
      <c r="E9" s="1"/>
      <c r="F9" s="1242"/>
      <c r="G9" s="1045"/>
      <c r="H9" s="1045"/>
      <c r="I9" s="1045"/>
      <c r="J9" s="1045"/>
      <c r="K9" s="1076"/>
    </row>
    <row r="10" spans="2:11" ht="15" customHeight="1">
      <c r="B10" s="647"/>
      <c r="C10" s="638"/>
      <c r="D10" s="199">
        <f>SUM(D6:D9)</f>
        <v>2</v>
      </c>
      <c r="E10" s="1"/>
      <c r="F10" s="1242"/>
      <c r="G10" s="1045"/>
      <c r="H10" s="1045"/>
      <c r="I10" s="1045"/>
      <c r="J10" s="1045"/>
      <c r="K10" s="1076"/>
    </row>
    <row r="11" spans="2:11" ht="6" customHeight="1">
      <c r="B11" s="1"/>
      <c r="C11" s="24"/>
      <c r="D11" s="648"/>
      <c r="E11" s="1"/>
      <c r="F11" s="1242"/>
      <c r="G11" s="1045"/>
      <c r="H11" s="1045"/>
      <c r="I11" s="1045"/>
      <c r="J11" s="1045"/>
      <c r="K11" s="1076"/>
    </row>
    <row r="12" spans="2:11" ht="24" customHeight="1">
      <c r="B12" s="1233" t="s">
        <v>270</v>
      </c>
      <c r="C12" s="1138"/>
      <c r="D12" s="149">
        <f>IF(D10=0,8,SP!C16-SUM(D6:D9)*2)</f>
        <v>4</v>
      </c>
      <c r="E12" s="649"/>
      <c r="F12" s="1242"/>
      <c r="G12" s="1045"/>
      <c r="H12" s="1045"/>
      <c r="I12" s="1045"/>
      <c r="J12" s="1045"/>
      <c r="K12" s="1076"/>
    </row>
    <row r="13" spans="2:11" ht="4.5" customHeight="1">
      <c r="B13" s="1"/>
      <c r="C13" s="1"/>
      <c r="D13" s="226"/>
      <c r="E13" s="649"/>
      <c r="F13" s="1242"/>
      <c r="G13" s="1045"/>
      <c r="H13" s="1045"/>
      <c r="I13" s="1045"/>
      <c r="J13" s="1045"/>
      <c r="K13" s="1076"/>
    </row>
    <row r="14" spans="2:11" ht="24" customHeight="1">
      <c r="B14" s="1110" t="s">
        <v>412</v>
      </c>
      <c r="C14" s="1140"/>
      <c r="D14" s="152">
        <f>D12</f>
        <v>4</v>
      </c>
      <c r="E14" s="14"/>
      <c r="F14" s="1243"/>
      <c r="G14" s="1244"/>
      <c r="H14" s="1244"/>
      <c r="I14" s="1244"/>
      <c r="J14" s="1244"/>
      <c r="K14" s="1245"/>
    </row>
    <row r="15" spans="2:11">
      <c r="B15" s="618"/>
      <c r="C15" s="618"/>
      <c r="D15" s="650"/>
      <c r="E15" s="14"/>
      <c r="F15" s="24"/>
      <c r="G15" s="24"/>
      <c r="H15" s="1"/>
      <c r="I15" s="1"/>
      <c r="J15" s="1"/>
      <c r="K15" s="1"/>
    </row>
    <row r="16" spans="2:11">
      <c r="B16" s="1443" t="str">
        <f>IF(D3=0,"Please indicate if an EAP exists for this dam (yes or no)","")</f>
        <v>Please indicate if an EAP exists for this dam (yes or no)</v>
      </c>
      <c r="C16" s="1081"/>
      <c r="D16" s="1082"/>
      <c r="E16" s="651"/>
      <c r="F16" s="24"/>
      <c r="G16" s="24"/>
      <c r="H16" s="1"/>
      <c r="I16" s="1"/>
      <c r="J16" s="1"/>
      <c r="K16" s="1"/>
    </row>
    <row r="17" spans="2:4">
      <c r="B17" s="1444" t="str">
        <f>IF(D3=0,"",IF(D3="No","",IF(SUM(D6:D9)=0,"You have not entered an answer to the questions in rows 1 to 4. The maximum score will be assigned","")))</f>
        <v/>
      </c>
      <c r="C17" s="1445"/>
      <c r="D17" s="1142"/>
    </row>
  </sheetData>
  <mergeCells count="8">
    <mergeCell ref="B16:D16"/>
    <mergeCell ref="B17:D17"/>
    <mergeCell ref="B2:D2"/>
    <mergeCell ref="F2:K2"/>
    <mergeCell ref="B3:B4"/>
    <mergeCell ref="F3:K14"/>
    <mergeCell ref="B12:C12"/>
    <mergeCell ref="B14:C14"/>
  </mergeCells>
  <pageMargins left="0.70866141732283472" right="0.70866141732283472" top="0.74803149606299213" bottom="0.74803149606299213" header="0" footer="0"/>
  <pageSetup paperSize="5"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9E0FF"/>
    <pageSetUpPr fitToPage="1"/>
  </sheetPr>
  <dimension ref="B2:N18"/>
  <sheetViews>
    <sheetView zoomScale="86" zoomScaleNormal="86" workbookViewId="0">
      <selection activeCell="G12" sqref="G12:H12"/>
    </sheetView>
  </sheetViews>
  <sheetFormatPr defaultColWidth="14.42578125" defaultRowHeight="15" customHeight="1"/>
  <cols>
    <col min="1" max="1" width="3.140625" customWidth="1"/>
    <col min="2" max="2" width="6.85546875" customWidth="1"/>
    <col min="3" max="3" width="25.85546875" customWidth="1"/>
    <col min="4" max="4" width="3.5703125" customWidth="1"/>
    <col min="5" max="5" width="25.85546875" customWidth="1"/>
    <col min="6" max="6" width="3.5703125" customWidth="1"/>
    <col min="7" max="7" width="29.5703125" customWidth="1"/>
    <col min="8" max="8" width="3.140625" customWidth="1"/>
    <col min="9" max="9" width="1.85546875" customWidth="1"/>
    <col min="10" max="10" width="32.140625" customWidth="1"/>
    <col min="11" max="26" width="9.140625" customWidth="1"/>
  </cols>
  <sheetData>
    <row r="2" spans="2:14" ht="21.75" customHeight="1">
      <c r="B2" s="1451" t="s">
        <v>413</v>
      </c>
      <c r="C2" s="1047"/>
      <c r="D2" s="1047"/>
      <c r="E2" s="1047"/>
      <c r="F2" s="1047"/>
      <c r="G2" s="1047"/>
      <c r="H2" s="1048"/>
      <c r="J2" s="1236" t="s">
        <v>582</v>
      </c>
      <c r="K2" s="1111"/>
      <c r="L2" s="1111"/>
      <c r="M2" s="1111"/>
      <c r="N2" s="1138"/>
    </row>
    <row r="3" spans="2:14" ht="15.75">
      <c r="B3" s="652" t="s">
        <v>121</v>
      </c>
      <c r="C3" s="653">
        <v>1</v>
      </c>
      <c r="D3" s="175">
        <v>2</v>
      </c>
      <c r="E3" s="175">
        <v>3</v>
      </c>
      <c r="F3" s="175">
        <v>4</v>
      </c>
      <c r="G3" s="322">
        <v>5</v>
      </c>
      <c r="H3" s="654">
        <v>6</v>
      </c>
      <c r="J3" s="565"/>
      <c r="K3" s="566"/>
      <c r="L3" s="566"/>
      <c r="M3" s="566"/>
      <c r="N3" s="567"/>
    </row>
    <row r="4" spans="2:14" ht="28.5" customHeight="1">
      <c r="B4" s="655"/>
      <c r="C4" s="174" t="s">
        <v>238</v>
      </c>
      <c r="D4" s="175">
        <f>SP!C18</f>
        <v>0</v>
      </c>
      <c r="E4" s="176" t="s">
        <v>414</v>
      </c>
      <c r="F4" s="175">
        <f>SP!C19</f>
        <v>1</v>
      </c>
      <c r="G4" s="656" t="s">
        <v>240</v>
      </c>
      <c r="H4" s="654">
        <f>SP!C20</f>
        <v>3</v>
      </c>
      <c r="J4" s="486"/>
      <c r="K4" s="204"/>
      <c r="L4" s="204"/>
      <c r="M4" s="204"/>
      <c r="N4" s="463"/>
    </row>
    <row r="5" spans="2:14" ht="46.5" customHeight="1">
      <c r="B5" s="657"/>
      <c r="C5" s="1320" t="s">
        <v>415</v>
      </c>
      <c r="D5" s="1082"/>
      <c r="E5" s="1452" t="s">
        <v>416</v>
      </c>
      <c r="F5" s="1082"/>
      <c r="G5" s="1306" t="s">
        <v>417</v>
      </c>
      <c r="H5" s="1098"/>
      <c r="I5" s="122"/>
      <c r="J5" s="488"/>
      <c r="K5" s="138"/>
      <c r="L5" s="138"/>
      <c r="M5" s="138"/>
      <c r="N5" s="465"/>
    </row>
    <row r="6" spans="2:14" ht="23.25" customHeight="1">
      <c r="B6" s="549" t="s">
        <v>126</v>
      </c>
      <c r="C6" s="1135" t="s">
        <v>127</v>
      </c>
      <c r="D6" s="1082"/>
      <c r="E6" s="1156" t="s">
        <v>243</v>
      </c>
      <c r="F6" s="1081"/>
      <c r="G6" s="1081"/>
      <c r="H6" s="1098"/>
      <c r="I6" s="147"/>
      <c r="J6" s="264"/>
      <c r="K6" s="265"/>
      <c r="L6" s="265"/>
      <c r="M6" s="265"/>
      <c r="N6" s="266"/>
    </row>
    <row r="7" spans="2:14" ht="38.25">
      <c r="B7" s="157">
        <v>1</v>
      </c>
      <c r="C7" s="335" t="s">
        <v>418</v>
      </c>
      <c r="D7" s="873"/>
      <c r="E7" s="328" t="s">
        <v>419</v>
      </c>
      <c r="F7" s="658">
        <v>1</v>
      </c>
      <c r="G7" s="371" t="s">
        <v>420</v>
      </c>
      <c r="H7" s="659"/>
      <c r="J7" s="486"/>
      <c r="K7" s="204"/>
      <c r="L7" s="204"/>
      <c r="M7" s="204"/>
      <c r="N7" s="463"/>
    </row>
    <row r="8" spans="2:14" ht="23.25" customHeight="1">
      <c r="B8" s="157">
        <v>2</v>
      </c>
      <c r="C8" s="335" t="s">
        <v>421</v>
      </c>
      <c r="D8" s="660"/>
      <c r="E8" s="328" t="s">
        <v>422</v>
      </c>
      <c r="F8" s="874">
        <v>1</v>
      </c>
      <c r="G8" s="371" t="s">
        <v>423</v>
      </c>
      <c r="H8" s="661"/>
      <c r="J8" s="486"/>
      <c r="K8" s="204"/>
      <c r="L8" s="204"/>
      <c r="M8" s="204"/>
      <c r="N8" s="463"/>
    </row>
    <row r="9" spans="2:14" ht="38.25">
      <c r="B9" s="157">
        <v>3</v>
      </c>
      <c r="C9" s="335" t="s">
        <v>424</v>
      </c>
      <c r="D9" s="662"/>
      <c r="E9" s="328" t="s">
        <v>425</v>
      </c>
      <c r="F9" s="662"/>
      <c r="G9" s="371" t="s">
        <v>426</v>
      </c>
      <c r="H9" s="875">
        <v>1</v>
      </c>
      <c r="J9" s="486"/>
      <c r="K9" s="204"/>
      <c r="L9" s="204"/>
      <c r="M9" s="204"/>
      <c r="N9" s="463"/>
    </row>
    <row r="10" spans="2:14" ht="13.5" customHeight="1">
      <c r="B10" s="196"/>
      <c r="C10" s="515"/>
      <c r="D10" s="664">
        <f>SUM(D7:D9)</f>
        <v>0</v>
      </c>
      <c r="E10" s="665"/>
      <c r="F10" s="664">
        <f>SUM(F7:F9)</f>
        <v>2</v>
      </c>
      <c r="G10" s="666"/>
      <c r="H10" s="667">
        <f>SUM(H7:H9)</f>
        <v>1</v>
      </c>
      <c r="J10" s="486"/>
      <c r="K10" s="204"/>
      <c r="L10" s="204"/>
      <c r="M10" s="204"/>
      <c r="N10" s="463"/>
    </row>
    <row r="11" spans="2:14" ht="8.25" customHeight="1">
      <c r="B11" s="1"/>
      <c r="C11" s="668"/>
      <c r="D11" s="669"/>
      <c r="E11" s="670"/>
      <c r="F11" s="669"/>
      <c r="G11" s="668"/>
      <c r="H11" s="670"/>
      <c r="I11" s="1"/>
      <c r="J11" s="486"/>
      <c r="K11" s="204"/>
      <c r="L11" s="204"/>
      <c r="M11" s="204"/>
      <c r="N11" s="463"/>
    </row>
    <row r="12" spans="2:14" ht="24.75" customHeight="1">
      <c r="B12" s="1233" t="s">
        <v>270</v>
      </c>
      <c r="C12" s="1111"/>
      <c r="D12" s="1111"/>
      <c r="E12" s="1111"/>
      <c r="F12" s="1138"/>
      <c r="G12" s="1362">
        <f>IF(D10=3,0,F10*F4/3+H10*H4/3)</f>
        <v>1.6666666666666665</v>
      </c>
      <c r="H12" s="1138"/>
      <c r="J12" s="486"/>
      <c r="K12" s="204"/>
      <c r="L12" s="204"/>
      <c r="M12" s="204"/>
      <c r="N12" s="463"/>
    </row>
    <row r="13" spans="2:14" ht="4.5" customHeight="1">
      <c r="B13" s="1"/>
      <c r="C13" s="1"/>
      <c r="D13" s="214"/>
      <c r="E13" s="14"/>
      <c r="F13" s="214"/>
      <c r="G13" s="1"/>
      <c r="H13" s="14"/>
      <c r="I13" s="1"/>
      <c r="J13" s="486"/>
      <c r="K13" s="204"/>
      <c r="L13" s="204"/>
      <c r="M13" s="204"/>
      <c r="N13" s="463"/>
    </row>
    <row r="14" spans="2:14" ht="24.75" customHeight="1">
      <c r="B14" s="1110" t="s">
        <v>120</v>
      </c>
      <c r="C14" s="1111"/>
      <c r="D14" s="1111"/>
      <c r="E14" s="1111"/>
      <c r="F14" s="1140"/>
      <c r="G14" s="1168">
        <f>G12</f>
        <v>1.6666666666666665</v>
      </c>
      <c r="H14" s="1138"/>
      <c r="J14" s="561"/>
      <c r="K14" s="562"/>
      <c r="L14" s="562"/>
      <c r="M14" s="562"/>
      <c r="N14" s="563"/>
    </row>
    <row r="15" spans="2:14" ht="10.5" customHeight="1">
      <c r="B15" s="1"/>
      <c r="C15" s="1"/>
      <c r="D15" s="214"/>
      <c r="E15" s="14"/>
      <c r="F15" s="214"/>
      <c r="G15" s="1"/>
      <c r="H15" s="14"/>
      <c r="I15" s="1"/>
    </row>
    <row r="16" spans="2:14">
      <c r="B16" s="1453" t="str">
        <f>IF(D7+F7+H7&gt;1,"WARNING! Too many options selected for Row 1"," ")</f>
        <v xml:space="preserve"> </v>
      </c>
      <c r="C16" s="1090"/>
      <c r="D16" s="1090"/>
      <c r="E16" s="1090"/>
      <c r="F16" s="1090"/>
      <c r="G16" s="1090"/>
      <c r="H16" s="1091"/>
    </row>
    <row r="17" spans="2:8">
      <c r="B17" s="1449" t="str">
        <f>IF(D8+F8+H8&gt;1,"WARNING! Too many options selected for Row 2"," ")</f>
        <v xml:space="preserve"> </v>
      </c>
      <c r="C17" s="1018"/>
      <c r="D17" s="1018"/>
      <c r="E17" s="1018"/>
      <c r="F17" s="1018"/>
      <c r="G17" s="1018"/>
      <c r="H17" s="1023"/>
    </row>
    <row r="18" spans="2:8">
      <c r="B18" s="1450" t="str">
        <f>IF(D9+F9+H9&gt;1,"WARNING! Too many options selected for Row 3"," ")</f>
        <v xml:space="preserve"> </v>
      </c>
      <c r="C18" s="1021"/>
      <c r="D18" s="1021"/>
      <c r="E18" s="1021"/>
      <c r="F18" s="1021"/>
      <c r="G18" s="1021"/>
      <c r="H18" s="1225"/>
    </row>
  </sheetData>
  <mergeCells count="14">
    <mergeCell ref="B17:H17"/>
    <mergeCell ref="B18:H18"/>
    <mergeCell ref="B2:H2"/>
    <mergeCell ref="J2:N2"/>
    <mergeCell ref="C5:D5"/>
    <mergeCell ref="E5:F5"/>
    <mergeCell ref="G5:H5"/>
    <mergeCell ref="C6:D6"/>
    <mergeCell ref="E6:H6"/>
    <mergeCell ref="B12:F12"/>
    <mergeCell ref="G12:H12"/>
    <mergeCell ref="B14:F14"/>
    <mergeCell ref="G14:H14"/>
    <mergeCell ref="B16:H16"/>
  </mergeCells>
  <pageMargins left="0.70866141732283472" right="0.70866141732283472" top="0.74803149606299213" bottom="0.74803149606299213" header="0" footer="0"/>
  <pageSetup paperSize="5" orientation="landscape"/>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9E0FF"/>
    <pageSetUpPr fitToPage="1"/>
  </sheetPr>
  <dimension ref="B2:L18"/>
  <sheetViews>
    <sheetView workbookViewId="0">
      <selection activeCell="E8" sqref="E8"/>
    </sheetView>
  </sheetViews>
  <sheetFormatPr defaultColWidth="14.42578125" defaultRowHeight="15" customHeight="1"/>
  <cols>
    <col min="1" max="1" width="3.42578125" customWidth="1"/>
    <col min="2" max="2" width="7.85546875" customWidth="1"/>
    <col min="3" max="3" width="31" customWidth="1"/>
    <col min="4" max="4" width="3.85546875" customWidth="1"/>
    <col min="5" max="5" width="34.85546875" customWidth="1"/>
    <col min="6" max="6" width="3.85546875" customWidth="1"/>
    <col min="7" max="7" width="27" customWidth="1"/>
    <col min="8" max="8" width="3.85546875" customWidth="1"/>
    <col min="9" max="9" width="24.85546875" customWidth="1"/>
    <col min="10" max="10" width="3.85546875" customWidth="1"/>
    <col min="11" max="11" width="1.140625" customWidth="1"/>
    <col min="12" max="12" width="69.85546875" customWidth="1"/>
    <col min="13" max="26" width="9.140625" customWidth="1"/>
  </cols>
  <sheetData>
    <row r="2" spans="2:12" ht="21.75" customHeight="1">
      <c r="B2" s="1390" t="s">
        <v>427</v>
      </c>
      <c r="C2" s="1018"/>
      <c r="D2" s="1018"/>
      <c r="E2" s="1018"/>
      <c r="F2" s="1018"/>
      <c r="G2" s="1018"/>
      <c r="H2" s="1018"/>
      <c r="I2" s="1018"/>
      <c r="J2" s="1023"/>
      <c r="K2" s="1"/>
      <c r="L2" s="870" t="s">
        <v>582</v>
      </c>
    </row>
    <row r="3" spans="2:12" ht="17.25" customHeight="1">
      <c r="B3" s="671" t="s">
        <v>121</v>
      </c>
      <c r="C3" s="522">
        <v>1</v>
      </c>
      <c r="D3" s="90">
        <v>2</v>
      </c>
      <c r="E3" s="90">
        <v>3</v>
      </c>
      <c r="F3" s="90">
        <v>4</v>
      </c>
      <c r="G3" s="90">
        <v>5</v>
      </c>
      <c r="H3" s="90">
        <v>6</v>
      </c>
      <c r="I3" s="90">
        <v>7</v>
      </c>
      <c r="J3" s="384">
        <v>8</v>
      </c>
      <c r="K3" s="226"/>
      <c r="L3" s="672"/>
    </row>
    <row r="4" spans="2:12" ht="30.75" customHeight="1">
      <c r="B4" s="1461"/>
      <c r="C4" s="174" t="s">
        <v>238</v>
      </c>
      <c r="D4" s="175">
        <f>SP!C22</f>
        <v>0</v>
      </c>
      <c r="E4" s="176" t="s">
        <v>317</v>
      </c>
      <c r="F4" s="175">
        <f>SP!C23</f>
        <v>2</v>
      </c>
      <c r="G4" s="176" t="s">
        <v>296</v>
      </c>
      <c r="H4" s="175">
        <f>SP!C24</f>
        <v>4</v>
      </c>
      <c r="I4" s="176" t="s">
        <v>286</v>
      </c>
      <c r="J4" s="177">
        <f>SP!C25</f>
        <v>7</v>
      </c>
      <c r="K4" s="1"/>
      <c r="L4" s="179"/>
    </row>
    <row r="5" spans="2:12" ht="46.5" customHeight="1">
      <c r="B5" s="1262"/>
      <c r="C5" s="1462" t="s">
        <v>428</v>
      </c>
      <c r="D5" s="1082"/>
      <c r="E5" s="1463" t="s">
        <v>429</v>
      </c>
      <c r="F5" s="1082"/>
      <c r="G5" s="1463" t="s">
        <v>430</v>
      </c>
      <c r="H5" s="1082"/>
      <c r="I5" s="1464" t="s">
        <v>431</v>
      </c>
      <c r="J5" s="1098"/>
      <c r="K5" s="121"/>
      <c r="L5" s="672"/>
    </row>
    <row r="6" spans="2:12" ht="21" customHeight="1">
      <c r="B6" s="673" t="s">
        <v>126</v>
      </c>
      <c r="C6" s="1407" t="s">
        <v>127</v>
      </c>
      <c r="D6" s="1098"/>
      <c r="E6" s="1454" t="s">
        <v>432</v>
      </c>
      <c r="F6" s="1081"/>
      <c r="G6" s="1081"/>
      <c r="H6" s="1081"/>
      <c r="I6" s="1081"/>
      <c r="J6" s="1098"/>
      <c r="K6" s="121"/>
      <c r="L6" s="672"/>
    </row>
    <row r="7" spans="2:12" ht="85.35" customHeight="1">
      <c r="B7" s="157">
        <v>1</v>
      </c>
      <c r="C7" s="965" t="s">
        <v>899</v>
      </c>
      <c r="D7" s="674">
        <v>1</v>
      </c>
      <c r="E7" s="557" t="s">
        <v>898</v>
      </c>
      <c r="F7" s="533"/>
      <c r="G7" s="184" t="s">
        <v>433</v>
      </c>
      <c r="H7" s="183"/>
      <c r="I7" s="190" t="s">
        <v>434</v>
      </c>
      <c r="J7" s="185"/>
      <c r="K7" s="1"/>
      <c r="L7" s="179"/>
    </row>
    <row r="8" spans="2:12" ht="63.75">
      <c r="B8" s="157">
        <v>2</v>
      </c>
      <c r="C8" s="219" t="s">
        <v>900</v>
      </c>
      <c r="D8" s="188"/>
      <c r="E8" s="184" t="s">
        <v>901</v>
      </c>
      <c r="F8" s="188">
        <v>1</v>
      </c>
      <c r="G8" s="184" t="s">
        <v>902</v>
      </c>
      <c r="H8" s="188"/>
      <c r="I8" s="184" t="s">
        <v>435</v>
      </c>
      <c r="J8" s="189"/>
      <c r="K8" s="1"/>
      <c r="L8" s="179"/>
    </row>
    <row r="9" spans="2:12" ht="44.45" customHeight="1">
      <c r="B9" s="157">
        <v>3</v>
      </c>
      <c r="C9" s="555" t="s">
        <v>436</v>
      </c>
      <c r="D9" s="556"/>
      <c r="E9" s="184" t="s">
        <v>437</v>
      </c>
      <c r="F9" s="533"/>
      <c r="G9" s="557" t="s">
        <v>438</v>
      </c>
      <c r="H9" s="192"/>
      <c r="I9" s="528" t="s">
        <v>439</v>
      </c>
      <c r="J9" s="531">
        <v>1</v>
      </c>
      <c r="K9" s="1"/>
      <c r="L9" s="179"/>
    </row>
    <row r="10" spans="2:12">
      <c r="B10" s="196"/>
      <c r="C10" s="345" t="s">
        <v>129</v>
      </c>
      <c r="D10" s="346">
        <f>SUM(D7:D9)</f>
        <v>1</v>
      </c>
      <c r="E10" s="347" t="s">
        <v>129</v>
      </c>
      <c r="F10" s="347">
        <f>SUM(F7:F9)</f>
        <v>1</v>
      </c>
      <c r="G10" s="347" t="s">
        <v>129</v>
      </c>
      <c r="H10" s="347">
        <f>SUM(H7:H9)</f>
        <v>0</v>
      </c>
      <c r="I10" s="347" t="s">
        <v>129</v>
      </c>
      <c r="J10" s="348">
        <f>SUM(J7:J9)</f>
        <v>1</v>
      </c>
      <c r="K10" s="1"/>
      <c r="L10" s="201"/>
    </row>
    <row r="11" spans="2:12" ht="3.75" customHeight="1">
      <c r="B11" s="1"/>
      <c r="C11" s="24"/>
      <c r="D11" s="32"/>
      <c r="E11" s="24"/>
      <c r="F11" s="224"/>
      <c r="G11" s="202"/>
      <c r="H11" s="202"/>
      <c r="I11" s="202"/>
      <c r="J11" s="202"/>
      <c r="K11" s="1"/>
      <c r="L11" s="566"/>
    </row>
    <row r="12" spans="2:12" ht="24.75" customHeight="1">
      <c r="B12" s="1137" t="s">
        <v>270</v>
      </c>
      <c r="C12" s="1111"/>
      <c r="D12" s="1111"/>
      <c r="E12" s="1111"/>
      <c r="F12" s="1111"/>
      <c r="G12" s="1111"/>
      <c r="H12" s="1138"/>
      <c r="I12" s="1234">
        <f>IF(D10=3,0,D10*D4/3+F10*F4/3+H10*H4/3+J10*J4/3)</f>
        <v>3</v>
      </c>
      <c r="J12" s="1138"/>
      <c r="K12" s="1"/>
      <c r="L12" s="204"/>
    </row>
    <row r="13" spans="2:12" ht="4.5" customHeight="1">
      <c r="B13" s="1"/>
      <c r="C13" s="24"/>
      <c r="D13" s="32"/>
      <c r="E13" s="24"/>
      <c r="F13" s="224"/>
      <c r="G13" s="24"/>
      <c r="H13" s="224"/>
      <c r="I13" s="24"/>
      <c r="J13" s="223"/>
      <c r="K13" s="1"/>
      <c r="L13" s="204"/>
    </row>
    <row r="14" spans="2:12" ht="24.75" customHeight="1">
      <c r="B14" s="1139" t="s">
        <v>120</v>
      </c>
      <c r="C14" s="1111"/>
      <c r="D14" s="1111"/>
      <c r="E14" s="1111"/>
      <c r="F14" s="1111"/>
      <c r="G14" s="1111"/>
      <c r="H14" s="1140"/>
      <c r="I14" s="1399">
        <f>I12</f>
        <v>3</v>
      </c>
      <c r="J14" s="1138"/>
      <c r="K14" s="1"/>
      <c r="L14" s="204"/>
    </row>
    <row r="15" spans="2:12" ht="6" customHeight="1">
      <c r="B15" s="1"/>
      <c r="C15" s="24"/>
      <c r="D15" s="32"/>
      <c r="E15" s="24"/>
      <c r="F15" s="224"/>
      <c r="G15" s="24"/>
      <c r="H15" s="224"/>
      <c r="I15" s="24"/>
      <c r="J15" s="223"/>
      <c r="K15" s="1"/>
      <c r="L15" s="1"/>
    </row>
    <row r="16" spans="2:12" ht="15.75">
      <c r="B16" s="1457"/>
      <c r="C16" s="1455" t="str">
        <f>IF((D7+F7+H7+J7)&gt;1,"WARNING!         Too many options selected in Row 1 ","" )</f>
        <v/>
      </c>
      <c r="D16" s="1090"/>
      <c r="E16" s="1090"/>
      <c r="F16" s="1090"/>
      <c r="G16" s="1090"/>
      <c r="H16" s="1090"/>
      <c r="I16" s="1090"/>
      <c r="J16" s="1342"/>
      <c r="K16" s="1"/>
      <c r="L16" s="1"/>
    </row>
    <row r="17" spans="2:10" ht="15.75">
      <c r="B17" s="1458"/>
      <c r="C17" s="1456" t="str">
        <f>IF((D8+F8+H8+J8)&gt;1,"WARNING!         Too many options selected in Row 2","" )</f>
        <v/>
      </c>
      <c r="D17" s="1018"/>
      <c r="E17" s="1018"/>
      <c r="F17" s="1018"/>
      <c r="G17" s="1018"/>
      <c r="H17" s="1018"/>
      <c r="I17" s="1018"/>
      <c r="J17" s="1283"/>
    </row>
    <row r="18" spans="2:10" ht="15.75">
      <c r="B18" s="1459"/>
      <c r="C18" s="1460" t="str">
        <f>IF((D9+F9+H9+J9)&gt;1,"WARNING!         Too many options selected in Row 3","" )</f>
        <v/>
      </c>
      <c r="D18" s="1021"/>
      <c r="E18" s="1021"/>
      <c r="F18" s="1021"/>
      <c r="G18" s="1021"/>
      <c r="H18" s="1021"/>
      <c r="I18" s="1021"/>
      <c r="J18" s="1270"/>
    </row>
  </sheetData>
  <mergeCells count="17">
    <mergeCell ref="B2:J2"/>
    <mergeCell ref="B4:B5"/>
    <mergeCell ref="C5:D5"/>
    <mergeCell ref="E5:F5"/>
    <mergeCell ref="G5:H5"/>
    <mergeCell ref="I5:J5"/>
    <mergeCell ref="E6:J6"/>
    <mergeCell ref="C16:I16"/>
    <mergeCell ref="C17:I17"/>
    <mergeCell ref="C6:D6"/>
    <mergeCell ref="B12:H12"/>
    <mergeCell ref="I12:J12"/>
    <mergeCell ref="B14:H14"/>
    <mergeCell ref="I14:J14"/>
    <mergeCell ref="B16:B18"/>
    <mergeCell ref="J16:J18"/>
    <mergeCell ref="C18:I18"/>
  </mergeCells>
  <pageMargins left="0.70866141732283472" right="0.70866141732283472" top="0.74803149606299213" bottom="0.74803149606299213" header="0" footer="0"/>
  <pageSetup paperSize="5"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9E0FF"/>
    <pageSetUpPr fitToPage="1"/>
  </sheetPr>
  <dimension ref="B2:N18"/>
  <sheetViews>
    <sheetView workbookViewId="0">
      <selection activeCell="C7" sqref="C7"/>
    </sheetView>
  </sheetViews>
  <sheetFormatPr defaultColWidth="14.42578125" defaultRowHeight="15" customHeight="1"/>
  <cols>
    <col min="1" max="1" width="3.140625" customWidth="1"/>
    <col min="2" max="2" width="7.140625" customWidth="1"/>
    <col min="3" max="3" width="28.85546875" customWidth="1"/>
    <col min="4" max="4" width="3.5703125" customWidth="1"/>
    <col min="5" max="5" width="28.85546875" customWidth="1"/>
    <col min="6" max="6" width="3.5703125" customWidth="1"/>
    <col min="7" max="7" width="28.85546875" customWidth="1"/>
    <col min="8" max="8" width="3.140625" customWidth="1"/>
    <col min="9" max="9" width="2.5703125" customWidth="1"/>
    <col min="10" max="10" width="19.85546875" customWidth="1"/>
    <col min="11" max="11" width="9.140625" customWidth="1"/>
    <col min="12" max="12" width="12.85546875" customWidth="1"/>
    <col min="13" max="13" width="9.140625" customWidth="1"/>
    <col min="14" max="14" width="18.140625" customWidth="1"/>
    <col min="15" max="26" width="9.140625" customWidth="1"/>
  </cols>
  <sheetData>
    <row r="2" spans="2:14" ht="21.75" customHeight="1">
      <c r="B2" s="1348" t="s">
        <v>440</v>
      </c>
      <c r="C2" s="1090"/>
      <c r="D2" s="1090"/>
      <c r="E2" s="1090"/>
      <c r="F2" s="1090"/>
      <c r="G2" s="1090"/>
      <c r="H2" s="1091"/>
      <c r="J2" s="1236" t="s">
        <v>582</v>
      </c>
      <c r="K2" s="1111"/>
      <c r="L2" s="1111"/>
      <c r="M2" s="1111"/>
      <c r="N2" s="1138"/>
    </row>
    <row r="3" spans="2:14" ht="15.75">
      <c r="B3" s="652" t="s">
        <v>121</v>
      </c>
      <c r="C3" s="175">
        <v>1</v>
      </c>
      <c r="D3" s="175">
        <v>2</v>
      </c>
      <c r="E3" s="175">
        <v>3</v>
      </c>
      <c r="F3" s="175">
        <v>4</v>
      </c>
      <c r="G3" s="175">
        <v>5</v>
      </c>
      <c r="H3" s="177">
        <v>6</v>
      </c>
      <c r="J3" s="565"/>
      <c r="K3" s="566"/>
      <c r="L3" s="566"/>
      <c r="M3" s="566"/>
      <c r="N3" s="567"/>
    </row>
    <row r="4" spans="2:14" ht="25.5" customHeight="1">
      <c r="B4" s="655"/>
      <c r="C4" s="174" t="s">
        <v>238</v>
      </c>
      <c r="D4" s="175">
        <f>SP!C27</f>
        <v>0</v>
      </c>
      <c r="E4" s="176" t="s">
        <v>441</v>
      </c>
      <c r="F4" s="175">
        <f>SP!C28</f>
        <v>2</v>
      </c>
      <c r="G4" s="176" t="s">
        <v>240</v>
      </c>
      <c r="H4" s="177">
        <f>SP!C29</f>
        <v>6</v>
      </c>
      <c r="J4" s="486"/>
      <c r="K4" s="204"/>
      <c r="L4" s="204"/>
      <c r="M4" s="204"/>
      <c r="N4" s="463"/>
    </row>
    <row r="5" spans="2:14" ht="30" customHeight="1">
      <c r="B5" s="1465" t="s">
        <v>126</v>
      </c>
      <c r="C5" s="1466" t="s">
        <v>442</v>
      </c>
      <c r="D5" s="1082"/>
      <c r="E5" s="1331" t="s">
        <v>443</v>
      </c>
      <c r="F5" s="1082"/>
      <c r="G5" s="1332" t="s">
        <v>444</v>
      </c>
      <c r="H5" s="1098"/>
      <c r="I5" s="122"/>
      <c r="J5" s="486"/>
      <c r="K5" s="204"/>
      <c r="L5" s="204"/>
      <c r="M5" s="204"/>
      <c r="N5" s="463"/>
    </row>
    <row r="6" spans="2:14" ht="17.25" customHeight="1">
      <c r="B6" s="1262"/>
      <c r="C6" s="1156" t="s">
        <v>127</v>
      </c>
      <c r="D6" s="1082"/>
      <c r="E6" s="1135" t="s">
        <v>432</v>
      </c>
      <c r="F6" s="1081"/>
      <c r="G6" s="1081"/>
      <c r="H6" s="1098"/>
      <c r="I6" s="256"/>
      <c r="J6" s="486"/>
      <c r="K6" s="204"/>
      <c r="L6" s="204"/>
      <c r="M6" s="204"/>
      <c r="N6" s="463"/>
    </row>
    <row r="7" spans="2:14" ht="51">
      <c r="B7" s="157">
        <v>1</v>
      </c>
      <c r="C7" s="335" t="s">
        <v>905</v>
      </c>
      <c r="D7" s="675">
        <v>1</v>
      </c>
      <c r="E7" s="328" t="s">
        <v>906</v>
      </c>
      <c r="F7" s="676"/>
      <c r="G7" s="328" t="s">
        <v>904</v>
      </c>
      <c r="H7" s="659"/>
      <c r="J7" s="486"/>
      <c r="K7" s="204"/>
      <c r="L7" s="204"/>
      <c r="M7" s="204"/>
      <c r="N7" s="463"/>
    </row>
    <row r="8" spans="2:14" ht="29.25" customHeight="1">
      <c r="B8" s="157">
        <v>2</v>
      </c>
      <c r="C8" s="335" t="s">
        <v>445</v>
      </c>
      <c r="D8" s="677"/>
      <c r="E8" s="328" t="s">
        <v>446</v>
      </c>
      <c r="F8" s="678">
        <v>1</v>
      </c>
      <c r="G8" s="328" t="s">
        <v>447</v>
      </c>
      <c r="H8" s="661"/>
      <c r="J8" s="486"/>
      <c r="K8" s="204"/>
      <c r="L8" s="204"/>
      <c r="M8" s="204"/>
      <c r="N8" s="463"/>
    </row>
    <row r="9" spans="2:14" ht="30" customHeight="1">
      <c r="B9" s="157">
        <v>3</v>
      </c>
      <c r="C9" s="335" t="s">
        <v>448</v>
      </c>
      <c r="D9" s="679"/>
      <c r="E9" s="328" t="s">
        <v>449</v>
      </c>
      <c r="F9" s="680"/>
      <c r="G9" s="328" t="s">
        <v>903</v>
      </c>
      <c r="H9" s="663">
        <v>1</v>
      </c>
      <c r="J9" s="486"/>
      <c r="K9" s="204"/>
      <c r="L9" s="204"/>
      <c r="M9" s="204"/>
      <c r="N9" s="463"/>
    </row>
    <row r="10" spans="2:14">
      <c r="B10" s="196"/>
      <c r="C10" s="515"/>
      <c r="D10" s="665">
        <f>SUM(D7:D9)</f>
        <v>1</v>
      </c>
      <c r="E10" s="665"/>
      <c r="F10" s="665">
        <f>SUM(F7:F9)</f>
        <v>1</v>
      </c>
      <c r="G10" s="517"/>
      <c r="H10" s="681">
        <f>SUM(H7:H9)</f>
        <v>1</v>
      </c>
      <c r="J10" s="561"/>
      <c r="K10" s="562"/>
      <c r="L10" s="562"/>
      <c r="M10" s="562"/>
      <c r="N10" s="563"/>
    </row>
    <row r="11" spans="2:14" ht="5.25" customHeight="1">
      <c r="B11" s="1"/>
      <c r="C11" s="668"/>
      <c r="D11" s="670"/>
      <c r="E11" s="670"/>
      <c r="F11" s="670"/>
      <c r="G11" s="668"/>
      <c r="H11" s="670"/>
      <c r="J11" s="566"/>
      <c r="K11" s="566"/>
      <c r="L11" s="566"/>
      <c r="M11" s="566"/>
      <c r="N11" s="566"/>
    </row>
    <row r="12" spans="2:14" ht="24.75" customHeight="1">
      <c r="B12" s="1233" t="s">
        <v>270</v>
      </c>
      <c r="C12" s="1111"/>
      <c r="D12" s="1111"/>
      <c r="E12" s="1111"/>
      <c r="F12" s="1138"/>
      <c r="G12" s="1362">
        <f>IF(D10=3,0,D10*D4/3+F10*F4/3+H10*H4/3)</f>
        <v>2.6666666666666665</v>
      </c>
      <c r="H12" s="1138"/>
      <c r="I12" s="1"/>
      <c r="J12" s="204"/>
      <c r="K12" s="204"/>
      <c r="L12" s="204"/>
      <c r="M12" s="204"/>
      <c r="N12" s="204"/>
    </row>
    <row r="13" spans="2:14" ht="4.5" customHeight="1">
      <c r="B13" s="1"/>
      <c r="C13" s="1"/>
      <c r="D13" s="226"/>
      <c r="E13" s="14"/>
      <c r="F13" s="226"/>
      <c r="G13" s="14"/>
      <c r="H13" s="226"/>
      <c r="J13" s="204"/>
      <c r="K13" s="204"/>
      <c r="L13" s="204"/>
      <c r="M13" s="204"/>
      <c r="N13" s="204"/>
    </row>
    <row r="14" spans="2:14" ht="24.75" customHeight="1">
      <c r="B14" s="1110" t="s">
        <v>120</v>
      </c>
      <c r="C14" s="1111"/>
      <c r="D14" s="1111"/>
      <c r="E14" s="1111"/>
      <c r="F14" s="1140"/>
      <c r="G14" s="1168">
        <f>G12</f>
        <v>2.6666666666666665</v>
      </c>
      <c r="H14" s="1138"/>
      <c r="I14" s="1"/>
      <c r="J14" s="204"/>
      <c r="K14" s="204"/>
      <c r="L14" s="204"/>
      <c r="M14" s="204"/>
      <c r="N14" s="204"/>
    </row>
    <row r="15" spans="2:14" ht="9" customHeight="1">
      <c r="B15" s="569"/>
      <c r="C15" s="569"/>
      <c r="D15" s="573"/>
      <c r="E15" s="682"/>
      <c r="F15" s="573"/>
      <c r="G15" s="569"/>
      <c r="H15" s="573"/>
      <c r="I15" s="1"/>
      <c r="J15" s="569"/>
      <c r="K15" s="569"/>
      <c r="L15" s="569"/>
      <c r="M15" s="569"/>
      <c r="N15" s="569"/>
    </row>
    <row r="16" spans="2:14">
      <c r="B16" s="1453" t="str">
        <f>IF(D7+F7+H7&gt;1,"WARNING !  Too many options selected for Row 1"," ")</f>
        <v xml:space="preserve"> </v>
      </c>
      <c r="C16" s="1090"/>
      <c r="D16" s="1090"/>
      <c r="E16" s="1090"/>
      <c r="F16" s="1090"/>
      <c r="G16" s="1090"/>
      <c r="H16" s="1091"/>
      <c r="I16" s="1"/>
      <c r="J16" s="1"/>
      <c r="K16" s="1"/>
      <c r="L16" s="1"/>
      <c r="M16" s="1"/>
      <c r="N16" s="1"/>
    </row>
    <row r="17" spans="2:8">
      <c r="B17" s="1449" t="str">
        <f>IF(D8+F8+H8&gt;1,"WARNING !  Too many options selected for Row 2"," ")</f>
        <v xml:space="preserve"> </v>
      </c>
      <c r="C17" s="1018"/>
      <c r="D17" s="1018"/>
      <c r="E17" s="1018"/>
      <c r="F17" s="1018"/>
      <c r="G17" s="1018"/>
      <c r="H17" s="1023"/>
    </row>
    <row r="18" spans="2:8">
      <c r="B18" s="1450" t="str">
        <f>IF(D9+F9+H9&gt;1,"WARNING !  Too many options selected for Row 3"," ")</f>
        <v xml:space="preserve"> </v>
      </c>
      <c r="C18" s="1021"/>
      <c r="D18" s="1021"/>
      <c r="E18" s="1021"/>
      <c r="F18" s="1021"/>
      <c r="G18" s="1021"/>
      <c r="H18" s="1225"/>
    </row>
  </sheetData>
  <mergeCells count="15">
    <mergeCell ref="B16:H16"/>
    <mergeCell ref="B17:H17"/>
    <mergeCell ref="B18:H18"/>
    <mergeCell ref="B2:H2"/>
    <mergeCell ref="J2:N2"/>
    <mergeCell ref="B5:B6"/>
    <mergeCell ref="C5:D5"/>
    <mergeCell ref="E5:F5"/>
    <mergeCell ref="G5:H5"/>
    <mergeCell ref="E6:H6"/>
    <mergeCell ref="C6:D6"/>
    <mergeCell ref="B12:F12"/>
    <mergeCell ref="G12:H12"/>
    <mergeCell ref="B14:F14"/>
    <mergeCell ref="G14:H14"/>
  </mergeCells>
  <pageMargins left="0.70866141732283472" right="0.70866141732283472" top="0.74803149606299213" bottom="0.74803149606299213" header="0" footer="0"/>
  <pageSetup paperSize="5"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9E0FF"/>
    <pageSetUpPr fitToPage="1"/>
  </sheetPr>
  <dimension ref="B2:P16"/>
  <sheetViews>
    <sheetView zoomScale="82" zoomScaleNormal="82" workbookViewId="0">
      <selection activeCell="E25" sqref="E25"/>
    </sheetView>
  </sheetViews>
  <sheetFormatPr defaultColWidth="14.42578125" defaultRowHeight="15" customHeight="1"/>
  <cols>
    <col min="1" max="1" width="1.42578125" customWidth="1"/>
    <col min="2" max="2" width="7.85546875" customWidth="1"/>
    <col min="3" max="3" width="36" customWidth="1"/>
    <col min="4" max="4" width="3.85546875" customWidth="1"/>
    <col min="5" max="5" width="28" customWidth="1"/>
    <col min="6" max="6" width="3.85546875" customWidth="1"/>
    <col min="7" max="7" width="28.42578125" customWidth="1"/>
    <col min="8" max="8" width="3.85546875" customWidth="1"/>
    <col min="9" max="9" width="24.85546875" customWidth="1"/>
    <col min="10" max="10" width="3.85546875" customWidth="1"/>
    <col min="11" max="11" width="2.140625" customWidth="1"/>
    <col min="12" max="12" width="24.140625" customWidth="1"/>
    <col min="13" max="15" width="9.140625" customWidth="1"/>
    <col min="16" max="16" width="17.140625" customWidth="1"/>
    <col min="17" max="26" width="9.140625" customWidth="1"/>
  </cols>
  <sheetData>
    <row r="2" spans="2:16" ht="21">
      <c r="B2" s="1473" t="s">
        <v>450</v>
      </c>
      <c r="C2" s="1018"/>
      <c r="D2" s="1018"/>
      <c r="E2" s="1018"/>
      <c r="F2" s="1018"/>
      <c r="G2" s="1018"/>
      <c r="H2" s="1018"/>
      <c r="I2" s="1018"/>
      <c r="J2" s="1023"/>
      <c r="K2" s="121"/>
      <c r="L2" s="1437" t="s">
        <v>582</v>
      </c>
      <c r="M2" s="1090"/>
      <c r="N2" s="1090"/>
      <c r="O2" s="1090"/>
      <c r="P2" s="1091"/>
    </row>
    <row r="3" spans="2:16" ht="18.75" customHeight="1">
      <c r="B3" s="683" t="s">
        <v>121</v>
      </c>
      <c r="C3" s="522">
        <v>1</v>
      </c>
      <c r="D3" s="90">
        <v>2</v>
      </c>
      <c r="E3" s="90">
        <v>3</v>
      </c>
      <c r="F3" s="90">
        <v>4</v>
      </c>
      <c r="G3" s="90">
        <v>5</v>
      </c>
      <c r="H3" s="90">
        <v>6</v>
      </c>
      <c r="I3" s="90">
        <v>7</v>
      </c>
      <c r="J3" s="384">
        <v>8</v>
      </c>
      <c r="K3" s="226"/>
      <c r="L3" s="227"/>
      <c r="M3" s="482"/>
      <c r="N3" s="482"/>
      <c r="O3" s="482"/>
      <c r="P3" s="483"/>
    </row>
    <row r="4" spans="2:16" ht="25.5" customHeight="1">
      <c r="B4" s="1356"/>
      <c r="C4" s="684" t="s">
        <v>238</v>
      </c>
      <c r="D4" s="90">
        <f>SP!C31</f>
        <v>0</v>
      </c>
      <c r="E4" s="551" t="s">
        <v>317</v>
      </c>
      <c r="F4" s="90">
        <f>SP!C32</f>
        <v>4</v>
      </c>
      <c r="G4" s="551" t="s">
        <v>296</v>
      </c>
      <c r="H4" s="90">
        <f>SP!C33</f>
        <v>9</v>
      </c>
      <c r="I4" s="551" t="s">
        <v>286</v>
      </c>
      <c r="J4" s="384">
        <f>SP!C34</f>
        <v>16</v>
      </c>
      <c r="K4" s="121"/>
      <c r="L4" s="488"/>
      <c r="M4" s="138"/>
      <c r="N4" s="138"/>
      <c r="O4" s="138"/>
      <c r="P4" s="465"/>
    </row>
    <row r="5" spans="2:16" ht="25.5" customHeight="1">
      <c r="B5" s="1262"/>
      <c r="C5" s="1474" t="s">
        <v>451</v>
      </c>
      <c r="D5" s="1082"/>
      <c r="E5" s="1475" t="s">
        <v>452</v>
      </c>
      <c r="F5" s="1081"/>
      <c r="G5" s="1476" t="s">
        <v>453</v>
      </c>
      <c r="H5" s="1082"/>
      <c r="I5" s="1477" t="s">
        <v>454</v>
      </c>
      <c r="J5" s="1098"/>
      <c r="K5" s="121"/>
      <c r="L5" s="488"/>
      <c r="M5" s="138"/>
      <c r="N5" s="138"/>
      <c r="O5" s="138"/>
      <c r="P5" s="465"/>
    </row>
    <row r="6" spans="2:16" ht="21" customHeight="1">
      <c r="B6" s="685" t="s">
        <v>126</v>
      </c>
      <c r="C6" s="1469" t="s">
        <v>127</v>
      </c>
      <c r="D6" s="1082"/>
      <c r="E6" s="1402" t="s">
        <v>243</v>
      </c>
      <c r="F6" s="1081"/>
      <c r="G6" s="1081"/>
      <c r="H6" s="1081"/>
      <c r="I6" s="1081"/>
      <c r="J6" s="1098"/>
      <c r="K6" s="121"/>
      <c r="L6" s="488"/>
      <c r="M6" s="138"/>
      <c r="N6" s="138"/>
      <c r="O6" s="138"/>
      <c r="P6" s="465"/>
    </row>
    <row r="7" spans="2:16" ht="54" customHeight="1">
      <c r="B7" s="686">
        <v>1</v>
      </c>
      <c r="C7" s="965" t="s">
        <v>915</v>
      </c>
      <c r="D7" s="687"/>
      <c r="E7" s="871" t="s">
        <v>697</v>
      </c>
      <c r="F7" s="183">
        <v>1</v>
      </c>
      <c r="G7" s="782" t="s">
        <v>698</v>
      </c>
      <c r="H7" s="183"/>
      <c r="I7" s="1470" t="s">
        <v>455</v>
      </c>
      <c r="J7" s="1471"/>
      <c r="K7" s="121"/>
      <c r="L7" s="488"/>
      <c r="M7" s="138"/>
      <c r="N7" s="138"/>
      <c r="O7" s="138"/>
      <c r="P7" s="465"/>
    </row>
    <row r="8" spans="2:16" ht="51">
      <c r="B8" s="686">
        <v>2</v>
      </c>
      <c r="C8" s="688"/>
      <c r="D8" s="689"/>
      <c r="E8" s="871" t="s">
        <v>699</v>
      </c>
      <c r="F8" s="188">
        <v>1</v>
      </c>
      <c r="G8" s="871" t="s">
        <v>456</v>
      </c>
      <c r="H8" s="188"/>
      <c r="I8" s="1192"/>
      <c r="J8" s="1059"/>
      <c r="K8" s="121"/>
      <c r="L8" s="488"/>
      <c r="M8" s="138"/>
      <c r="N8" s="138"/>
      <c r="O8" s="138"/>
      <c r="P8" s="465"/>
    </row>
    <row r="9" spans="2:16">
      <c r="B9" s="690"/>
      <c r="C9" s="345" t="s">
        <v>129</v>
      </c>
      <c r="D9" s="346">
        <f>SUM(D7:D8)</f>
        <v>0</v>
      </c>
      <c r="E9" s="347" t="s">
        <v>129</v>
      </c>
      <c r="F9" s="691">
        <f>SUM(F7:F8)</f>
        <v>2</v>
      </c>
      <c r="G9" s="347" t="s">
        <v>129</v>
      </c>
      <c r="H9" s="346">
        <f>SUM(H7:H8)</f>
        <v>0</v>
      </c>
      <c r="I9" s="347" t="s">
        <v>129</v>
      </c>
      <c r="J9" s="346">
        <f>SUM(J7:J8)</f>
        <v>0</v>
      </c>
      <c r="K9" s="121"/>
      <c r="L9" s="692"/>
      <c r="M9" s="693"/>
      <c r="N9" s="693"/>
      <c r="O9" s="693"/>
      <c r="P9" s="694"/>
    </row>
    <row r="10" spans="2:16" ht="5.25" customHeight="1" thickBot="1">
      <c r="B10" s="214"/>
      <c r="C10" s="120"/>
      <c r="D10" s="224"/>
      <c r="E10" s="120"/>
      <c r="F10" s="224"/>
      <c r="G10" s="120"/>
      <c r="H10" s="224"/>
      <c r="I10" s="120"/>
      <c r="J10" s="223"/>
      <c r="K10" s="121"/>
      <c r="L10" s="482"/>
      <c r="M10" s="482"/>
      <c r="N10" s="482"/>
      <c r="O10" s="482"/>
      <c r="P10" s="482"/>
    </row>
    <row r="11" spans="2:16" ht="24" customHeight="1" thickBot="1">
      <c r="B11" s="1137" t="s">
        <v>457</v>
      </c>
      <c r="C11" s="1111"/>
      <c r="D11" s="1111"/>
      <c r="E11" s="1111"/>
      <c r="F11" s="1111"/>
      <c r="G11" s="1111"/>
      <c r="H11" s="1138"/>
      <c r="I11" s="1234">
        <f>IF(D9=1,0,F9*F4/2+H9*H4/2+J9*J4/1)</f>
        <v>4</v>
      </c>
      <c r="J11" s="1388"/>
      <c r="K11" s="121"/>
      <c r="L11" s="138"/>
      <c r="M11" s="138"/>
      <c r="N11" s="138"/>
      <c r="O11" s="138"/>
      <c r="P11" s="138"/>
    </row>
    <row r="12" spans="2:16" ht="3" customHeight="1" thickBot="1">
      <c r="B12" s="214"/>
      <c r="C12" s="120"/>
      <c r="D12" s="224"/>
      <c r="E12" s="120"/>
      <c r="F12" s="224"/>
      <c r="G12" s="120"/>
      <c r="H12" s="224"/>
      <c r="I12" s="695"/>
      <c r="J12" s="696"/>
      <c r="K12" s="121"/>
      <c r="L12" s="138"/>
      <c r="M12" s="138"/>
      <c r="N12" s="138"/>
      <c r="O12" s="138"/>
      <c r="P12" s="138"/>
    </row>
    <row r="13" spans="2:16" ht="24" customHeight="1" thickBot="1">
      <c r="B13" s="1139" t="s">
        <v>120</v>
      </c>
      <c r="C13" s="1111"/>
      <c r="D13" s="1111"/>
      <c r="E13" s="1111"/>
      <c r="F13" s="1111"/>
      <c r="G13" s="1111"/>
      <c r="H13" s="1140"/>
      <c r="I13" s="1399">
        <f>I11</f>
        <v>4</v>
      </c>
      <c r="J13" s="1472"/>
      <c r="K13" s="121"/>
      <c r="L13" s="138"/>
      <c r="M13" s="138"/>
      <c r="N13" s="138"/>
      <c r="O13" s="138"/>
      <c r="P13" s="138"/>
    </row>
    <row r="14" spans="2:16" ht="9" customHeight="1" thickBot="1">
      <c r="B14" s="214" t="s">
        <v>101</v>
      </c>
      <c r="C14" s="120"/>
      <c r="D14" s="224"/>
      <c r="E14" s="120"/>
      <c r="F14" s="224"/>
      <c r="G14" s="120"/>
      <c r="H14" s="224"/>
      <c r="I14" s="120"/>
      <c r="J14" s="223"/>
      <c r="K14" s="121"/>
      <c r="L14" s="121"/>
      <c r="M14" s="121"/>
      <c r="N14" s="121"/>
      <c r="O14" s="121"/>
      <c r="P14" s="121"/>
    </row>
    <row r="15" spans="2:16">
      <c r="B15" s="1467" t="str">
        <f>IF(D7+F7+H7+J7&gt;1,"WARNING!  Too many options selected for Row 1"," ")</f>
        <v xml:space="preserve"> </v>
      </c>
      <c r="C15" s="1090"/>
      <c r="D15" s="1090"/>
      <c r="E15" s="1090"/>
      <c r="F15" s="1090"/>
      <c r="G15" s="1090"/>
      <c r="H15" s="1090"/>
      <c r="I15" s="1090"/>
      <c r="J15" s="1091"/>
      <c r="K15" s="121"/>
      <c r="L15" s="121"/>
      <c r="M15" s="122"/>
      <c r="N15" s="122"/>
      <c r="O15" s="122"/>
      <c r="P15" s="122"/>
    </row>
    <row r="16" spans="2:16">
      <c r="B16" s="1468" t="str">
        <f>IF(D8+F8+H8+J8&gt;1,"WARNING!  Too many options selected for Row 2"," ")</f>
        <v xml:space="preserve"> </v>
      </c>
      <c r="C16" s="1021"/>
      <c r="D16" s="1021"/>
      <c r="E16" s="1021"/>
      <c r="F16" s="1021"/>
      <c r="G16" s="1021"/>
      <c r="H16" s="1021"/>
      <c r="I16" s="1021"/>
      <c r="J16" s="1225"/>
      <c r="K16" s="214"/>
      <c r="L16" s="313"/>
      <c r="M16" s="207"/>
      <c r="N16" s="313"/>
      <c r="O16" s="207"/>
      <c r="P16" s="313"/>
    </row>
  </sheetData>
  <mergeCells count="17">
    <mergeCell ref="B2:J2"/>
    <mergeCell ref="L2:P2"/>
    <mergeCell ref="B4:B5"/>
    <mergeCell ref="C5:D5"/>
    <mergeCell ref="E5:F5"/>
    <mergeCell ref="G5:H5"/>
    <mergeCell ref="I5:J5"/>
    <mergeCell ref="B13:H13"/>
    <mergeCell ref="B15:J15"/>
    <mergeCell ref="B16:J16"/>
    <mergeCell ref="C6:D6"/>
    <mergeCell ref="E6:J6"/>
    <mergeCell ref="I7:I8"/>
    <mergeCell ref="J7:J8"/>
    <mergeCell ref="B11:H11"/>
    <mergeCell ref="I11:J11"/>
    <mergeCell ref="I13:J13"/>
  </mergeCells>
  <pageMargins left="0.70866141732283472" right="0.70866141732283472" top="0.74803149606299213" bottom="0.74803149606299213" header="0" footer="0"/>
  <pageSetup paperSize="5"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9E0FF"/>
    <pageSetUpPr fitToPage="1"/>
  </sheetPr>
  <dimension ref="B2:P38"/>
  <sheetViews>
    <sheetView topLeftCell="A13" zoomScale="115" zoomScaleNormal="115" workbookViewId="0">
      <selection activeCell="I8" sqref="I8"/>
    </sheetView>
  </sheetViews>
  <sheetFormatPr defaultColWidth="14.42578125" defaultRowHeight="15" customHeight="1"/>
  <cols>
    <col min="1" max="1" width="3.140625" customWidth="1"/>
    <col min="2" max="2" width="7.5703125" customWidth="1"/>
    <col min="3" max="3" width="39.85546875" customWidth="1"/>
    <col min="4" max="4" width="3.85546875" customWidth="1"/>
    <col min="5" max="5" width="47.42578125" customWidth="1"/>
    <col min="6" max="6" width="3.85546875" customWidth="1"/>
    <col min="7" max="7" width="39.140625" customWidth="1"/>
    <col min="8" max="8" width="3.85546875" customWidth="1"/>
    <col min="9" max="9" width="5.85546875" customWidth="1"/>
    <col min="10" max="13" width="9.140625" customWidth="1"/>
    <col min="14" max="14" width="28.140625" customWidth="1"/>
    <col min="15" max="15" width="3.85546875" customWidth="1"/>
    <col min="16" max="16" width="14.42578125" style="768" customWidth="1"/>
    <col min="17" max="17" width="12.85546875" customWidth="1"/>
    <col min="18" max="26" width="9.140625" customWidth="1"/>
  </cols>
  <sheetData>
    <row r="2" spans="2:16" ht="21.75" customHeight="1">
      <c r="B2" s="1487" t="s">
        <v>458</v>
      </c>
      <c r="C2" s="1073"/>
      <c r="D2" s="1073"/>
      <c r="E2" s="1073"/>
      <c r="F2" s="1073"/>
      <c r="G2" s="1073"/>
      <c r="H2" s="1247"/>
      <c r="I2" s="773"/>
      <c r="J2" s="1488" t="s">
        <v>582</v>
      </c>
      <c r="K2" s="1489"/>
      <c r="L2" s="1489"/>
      <c r="M2" s="1489"/>
      <c r="N2" s="1490"/>
    </row>
    <row r="3" spans="2:16" ht="15.75" customHeight="1">
      <c r="B3" s="521" t="s">
        <v>121</v>
      </c>
      <c r="C3" s="62">
        <v>1</v>
      </c>
      <c r="D3" s="62">
        <v>2</v>
      </c>
      <c r="E3" s="62">
        <v>3</v>
      </c>
      <c r="F3" s="62">
        <v>4</v>
      </c>
      <c r="G3" s="62">
        <v>5</v>
      </c>
      <c r="H3" s="62">
        <v>6</v>
      </c>
      <c r="I3" s="774"/>
      <c r="J3" s="1491"/>
      <c r="K3" s="1492"/>
      <c r="L3" s="1492"/>
      <c r="M3" s="1492"/>
      <c r="N3" s="1493"/>
    </row>
    <row r="4" spans="2:16" ht="25.5" customHeight="1">
      <c r="B4" s="698"/>
      <c r="C4" s="174" t="s">
        <v>238</v>
      </c>
      <c r="D4" s="175">
        <f>SP!C36</f>
        <v>0</v>
      </c>
      <c r="E4" s="176" t="s">
        <v>171</v>
      </c>
      <c r="F4" s="175">
        <f>SP!C37</f>
        <v>9</v>
      </c>
      <c r="G4" s="176" t="s">
        <v>240</v>
      </c>
      <c r="H4" s="175">
        <f>SP!C38</f>
        <v>18</v>
      </c>
      <c r="I4" s="773"/>
      <c r="J4" s="1494"/>
      <c r="K4" s="1492"/>
      <c r="L4" s="1492"/>
      <c r="M4" s="1492"/>
      <c r="N4" s="1493"/>
    </row>
    <row r="5" spans="2:16" ht="48.75" customHeight="1">
      <c r="B5" s="699"/>
      <c r="C5" s="1466" t="s">
        <v>459</v>
      </c>
      <c r="D5" s="1082"/>
      <c r="E5" s="1452" t="s">
        <v>460</v>
      </c>
      <c r="F5" s="1082"/>
      <c r="G5" s="1306" t="s">
        <v>381</v>
      </c>
      <c r="H5" s="1082"/>
      <c r="I5" s="775"/>
      <c r="J5" s="1494"/>
      <c r="K5" s="1492"/>
      <c r="L5" s="1492"/>
      <c r="M5" s="1492"/>
      <c r="N5" s="1493"/>
    </row>
    <row r="6" spans="2:16" ht="29.1" customHeight="1">
      <c r="B6" s="1156" t="s">
        <v>962</v>
      </c>
      <c r="C6" s="1156"/>
      <c r="D6" s="1156"/>
      <c r="E6" s="1156"/>
      <c r="F6" s="1507"/>
      <c r="G6" s="1507"/>
      <c r="H6" s="1507"/>
      <c r="I6" s="775"/>
      <c r="J6" s="1494"/>
      <c r="K6" s="1492"/>
      <c r="L6" s="1492"/>
      <c r="M6" s="1492"/>
      <c r="N6" s="1493"/>
    </row>
    <row r="7" spans="2:16" ht="24.95" customHeight="1">
      <c r="B7" s="977" t="s">
        <v>951</v>
      </c>
      <c r="C7" s="974" t="s">
        <v>955</v>
      </c>
      <c r="D7" s="975"/>
      <c r="E7" s="1500" t="s">
        <v>950</v>
      </c>
      <c r="F7" s="1501"/>
      <c r="G7" s="1501"/>
      <c r="H7" s="973"/>
      <c r="I7" s="775"/>
      <c r="J7" s="1494"/>
      <c r="K7" s="1492"/>
      <c r="L7" s="1492"/>
      <c r="M7" s="1492"/>
      <c r="N7" s="1493"/>
    </row>
    <row r="8" spans="2:16" ht="33.6" customHeight="1" thickBot="1">
      <c r="B8" s="977" t="s">
        <v>952</v>
      </c>
      <c r="C8" s="976" t="s">
        <v>956</v>
      </c>
      <c r="D8" s="772"/>
      <c r="E8" s="1502" t="s">
        <v>960</v>
      </c>
      <c r="F8" s="1503"/>
      <c r="G8" s="1504"/>
      <c r="H8" s="1505"/>
      <c r="I8" s="776">
        <f>D11*D4/2+F11*F4/2+H11*H4/2</f>
        <v>18</v>
      </c>
      <c r="J8" s="1494"/>
      <c r="K8" s="1492"/>
      <c r="L8" s="1492"/>
      <c r="M8" s="1492"/>
      <c r="N8" s="1493"/>
    </row>
    <row r="9" spans="2:16" ht="37.5" customHeight="1" thickBot="1">
      <c r="B9" s="977" t="s">
        <v>953</v>
      </c>
      <c r="C9" s="328" t="s">
        <v>957</v>
      </c>
      <c r="D9" s="443"/>
      <c r="E9" s="467" t="s">
        <v>958</v>
      </c>
      <c r="F9" s="772"/>
      <c r="G9" s="467" t="s">
        <v>959</v>
      </c>
      <c r="H9" s="772">
        <v>1</v>
      </c>
      <c r="I9" s="775"/>
      <c r="J9" s="1494"/>
      <c r="K9" s="1492"/>
      <c r="L9" s="1492"/>
      <c r="M9" s="1492"/>
      <c r="N9" s="1493"/>
    </row>
    <row r="10" spans="2:16" ht="41.1" customHeight="1">
      <c r="B10" s="977" t="s">
        <v>954</v>
      </c>
      <c r="C10" s="328" t="s">
        <v>961</v>
      </c>
      <c r="D10" s="981"/>
      <c r="E10" s="328" t="s">
        <v>974</v>
      </c>
      <c r="F10" s="981"/>
      <c r="G10" s="328" t="s">
        <v>975</v>
      </c>
      <c r="H10" s="981">
        <v>1</v>
      </c>
      <c r="I10" s="775"/>
      <c r="J10" s="1494"/>
      <c r="K10" s="1492"/>
      <c r="L10" s="1492"/>
      <c r="M10" s="1492"/>
      <c r="N10" s="1493"/>
    </row>
    <row r="11" spans="2:16" s="978" customFormat="1" ht="41.1" customHeight="1">
      <c r="B11" s="979"/>
      <c r="C11" s="980"/>
      <c r="D11" s="982">
        <f>SUM(D9:D10)</f>
        <v>0</v>
      </c>
      <c r="E11" s="982"/>
      <c r="F11" s="982">
        <f t="shared" ref="F11:H11" si="0">SUM(F9:F10)</f>
        <v>0</v>
      </c>
      <c r="G11" s="982"/>
      <c r="H11" s="982">
        <f t="shared" si="0"/>
        <v>2</v>
      </c>
      <c r="I11" s="775"/>
      <c r="J11" s="1494"/>
      <c r="K11" s="1492"/>
      <c r="L11" s="1492"/>
      <c r="M11" s="1492"/>
      <c r="N11" s="1493"/>
      <c r="P11" s="768"/>
    </row>
    <row r="12" spans="2:16" ht="22.5" customHeight="1">
      <c r="B12" s="1156" t="s">
        <v>963</v>
      </c>
      <c r="C12" s="1156"/>
      <c r="D12" s="1498"/>
      <c r="E12" s="1156"/>
      <c r="F12" s="1506"/>
      <c r="G12" s="1507"/>
      <c r="H12" s="1506"/>
      <c r="I12" s="775"/>
      <c r="J12" s="1494"/>
      <c r="K12" s="1492"/>
      <c r="L12" s="1492"/>
      <c r="M12" s="1492"/>
      <c r="N12" s="1493"/>
    </row>
    <row r="13" spans="2:16" ht="24.75" customHeight="1">
      <c r="B13" s="521" t="s">
        <v>126</v>
      </c>
      <c r="C13" s="1136" t="s">
        <v>127</v>
      </c>
      <c r="D13" s="1498"/>
      <c r="E13" s="1498" t="s">
        <v>128</v>
      </c>
      <c r="F13" s="1498"/>
      <c r="G13" s="1498"/>
      <c r="H13" s="1508"/>
      <c r="I13" s="775"/>
      <c r="J13" s="1494"/>
      <c r="K13" s="1492"/>
      <c r="L13" s="1492"/>
      <c r="M13" s="1492"/>
      <c r="N13" s="1493"/>
    </row>
    <row r="14" spans="2:16" ht="17.25" customHeight="1" thickBot="1">
      <c r="B14" s="1499" t="s">
        <v>461</v>
      </c>
      <c r="C14" s="1081"/>
      <c r="D14" s="1081"/>
      <c r="E14" s="1081"/>
      <c r="F14" s="1081"/>
      <c r="G14" s="1081"/>
      <c r="H14" s="1082"/>
      <c r="I14" s="776">
        <f>D19*D4/4+F19*F4/4+H19*H4/3</f>
        <v>0</v>
      </c>
      <c r="J14" s="1494"/>
      <c r="K14" s="1492"/>
      <c r="L14" s="1492"/>
      <c r="M14" s="1492"/>
      <c r="N14" s="1493"/>
    </row>
    <row r="15" spans="2:16" ht="28.5" customHeight="1" thickBot="1">
      <c r="B15" s="273">
        <v>1</v>
      </c>
      <c r="C15" s="769" t="s">
        <v>556</v>
      </c>
      <c r="D15" s="443"/>
      <c r="E15" s="769" t="s">
        <v>557</v>
      </c>
      <c r="F15" s="772"/>
      <c r="G15" s="328" t="s">
        <v>965</v>
      </c>
      <c r="H15" s="772"/>
      <c r="I15" s="773"/>
      <c r="J15" s="1494"/>
      <c r="K15" s="1492"/>
      <c r="L15" s="1492"/>
      <c r="M15" s="1492"/>
      <c r="N15" s="1493"/>
    </row>
    <row r="16" spans="2:16" ht="27.75" customHeight="1" thickBot="1">
      <c r="B16" s="273">
        <v>2</v>
      </c>
      <c r="C16" s="328" t="s">
        <v>890</v>
      </c>
      <c r="D16" s="443"/>
      <c r="E16" s="328" t="s">
        <v>462</v>
      </c>
      <c r="F16" s="443"/>
      <c r="G16" s="769" t="s">
        <v>463</v>
      </c>
      <c r="H16" s="443"/>
      <c r="I16" s="773"/>
      <c r="J16" s="1494"/>
      <c r="K16" s="1492"/>
      <c r="L16" s="1492"/>
      <c r="M16" s="1492"/>
      <c r="N16" s="1493"/>
    </row>
    <row r="17" spans="2:14" ht="39" customHeight="1" thickBot="1">
      <c r="B17" s="273">
        <v>3</v>
      </c>
      <c r="C17" s="769" t="s">
        <v>558</v>
      </c>
      <c r="D17" s="443"/>
      <c r="E17" s="328" t="s">
        <v>464</v>
      </c>
      <c r="F17" s="443"/>
      <c r="G17" s="328" t="s">
        <v>465</v>
      </c>
      <c r="H17" s="443"/>
      <c r="I17" s="773"/>
      <c r="J17" s="1494"/>
      <c r="K17" s="1492"/>
      <c r="L17" s="1492"/>
      <c r="M17" s="1492"/>
      <c r="N17" s="1493"/>
    </row>
    <row r="18" spans="2:14" ht="25.5">
      <c r="B18" s="273">
        <v>4</v>
      </c>
      <c r="C18" s="769" t="s">
        <v>559</v>
      </c>
      <c r="D18" s="447"/>
      <c r="E18" s="328" t="s">
        <v>466</v>
      </c>
      <c r="F18" s="447"/>
      <c r="G18" s="328" t="s">
        <v>467</v>
      </c>
      <c r="H18" s="447"/>
      <c r="I18" s="773"/>
      <c r="J18" s="1494"/>
      <c r="K18" s="1492"/>
      <c r="L18" s="1492"/>
      <c r="M18" s="1492"/>
      <c r="N18" s="1493"/>
    </row>
    <row r="19" spans="2:14" ht="15.75" customHeight="1">
      <c r="B19" s="273"/>
      <c r="C19" s="328"/>
      <c r="D19" s="700">
        <f>SUM(D15:D18)</f>
        <v>0</v>
      </c>
      <c r="E19" s="328"/>
      <c r="F19" s="700">
        <f>SUM(F15:F18)</f>
        <v>0</v>
      </c>
      <c r="G19" s="328"/>
      <c r="H19" s="700">
        <f>SUM(H15:H18)</f>
        <v>0</v>
      </c>
      <c r="I19" s="773"/>
      <c r="J19" s="1494"/>
      <c r="K19" s="1492"/>
      <c r="L19" s="1492"/>
      <c r="M19" s="1492"/>
      <c r="N19" s="1493"/>
    </row>
    <row r="20" spans="2:14" ht="16.5" customHeight="1" thickBot="1">
      <c r="B20" s="1499" t="s">
        <v>889</v>
      </c>
      <c r="C20" s="1081"/>
      <c r="D20" s="1081"/>
      <c r="E20" s="1081"/>
      <c r="F20" s="1081"/>
      <c r="G20" s="1081"/>
      <c r="H20" s="1082"/>
      <c r="I20" s="773"/>
      <c r="J20" s="1494"/>
      <c r="K20" s="1492"/>
      <c r="L20" s="1492"/>
      <c r="M20" s="1492"/>
      <c r="N20" s="1493"/>
    </row>
    <row r="21" spans="2:14" ht="90" thickBot="1">
      <c r="B21" s="273">
        <v>5</v>
      </c>
      <c r="C21" s="328" t="s">
        <v>964</v>
      </c>
      <c r="D21" s="701"/>
      <c r="E21" s="341" t="s">
        <v>916</v>
      </c>
      <c r="F21" s="702"/>
      <c r="G21" s="328" t="s">
        <v>917</v>
      </c>
      <c r="H21" s="702"/>
      <c r="I21" s="776">
        <f>IF(D21=1,D25*D4/4+F25*F4/4+H25*H4/4,F25*F4/3+H25*H4/3)</f>
        <v>0</v>
      </c>
      <c r="J21" s="1494"/>
      <c r="K21" s="1492"/>
      <c r="L21" s="1492"/>
      <c r="M21" s="1492"/>
      <c r="N21" s="1493"/>
    </row>
    <row r="22" spans="2:14" ht="41.25" customHeight="1" thickBot="1">
      <c r="B22" s="273">
        <v>6</v>
      </c>
      <c r="C22" s="328" t="s">
        <v>888</v>
      </c>
      <c r="D22" s="770"/>
      <c r="E22" s="328" t="s">
        <v>891</v>
      </c>
      <c r="F22" s="771"/>
      <c r="G22" s="328" t="s">
        <v>892</v>
      </c>
      <c r="H22" s="771"/>
      <c r="I22" s="773"/>
      <c r="J22" s="1494"/>
      <c r="K22" s="1492"/>
      <c r="L22" s="1492"/>
      <c r="M22" s="1492"/>
      <c r="N22" s="1493"/>
    </row>
    <row r="23" spans="2:14" ht="28.35" customHeight="1" thickBot="1">
      <c r="B23" s="273">
        <v>7</v>
      </c>
      <c r="C23" s="328" t="s">
        <v>558</v>
      </c>
      <c r="D23" s="447"/>
      <c r="E23" s="328" t="s">
        <v>464</v>
      </c>
      <c r="F23" s="447"/>
      <c r="G23" s="769" t="s">
        <v>465</v>
      </c>
      <c r="H23" s="447"/>
      <c r="I23" s="773"/>
      <c r="J23" s="1494"/>
      <c r="K23" s="1492"/>
      <c r="L23" s="1492"/>
      <c r="M23" s="1492"/>
      <c r="N23" s="1493"/>
    </row>
    <row r="24" spans="2:14" ht="25.5">
      <c r="B24" s="273">
        <v>8</v>
      </c>
      <c r="C24" s="328" t="s">
        <v>887</v>
      </c>
      <c r="D24" s="447"/>
      <c r="E24" s="328" t="s">
        <v>466</v>
      </c>
      <c r="F24" s="447"/>
      <c r="G24" s="328" t="s">
        <v>467</v>
      </c>
      <c r="H24" s="447"/>
      <c r="I24" s="773"/>
      <c r="J24" s="1494"/>
      <c r="K24" s="1492"/>
      <c r="L24" s="1492"/>
      <c r="M24" s="1492"/>
      <c r="N24" s="1493"/>
    </row>
    <row r="25" spans="2:14" ht="15.75" thickBot="1">
      <c r="B25" s="273"/>
      <c r="C25" s="328"/>
      <c r="D25" s="700">
        <f>SUM(D21:D24)</f>
        <v>0</v>
      </c>
      <c r="E25" s="703"/>
      <c r="F25" s="700">
        <f>SUM(F21:F24)</f>
        <v>0</v>
      </c>
      <c r="G25" s="328"/>
      <c r="H25" s="704">
        <f>SUM(H21:H24)</f>
        <v>0</v>
      </c>
      <c r="I25" s="697"/>
      <c r="J25" s="1495"/>
      <c r="K25" s="1496"/>
      <c r="L25" s="1496"/>
      <c r="M25" s="1496"/>
      <c r="N25" s="1497"/>
    </row>
    <row r="26" spans="2:14" ht="9.75" customHeight="1" thickBot="1">
      <c r="B26" s="1"/>
      <c r="C26" s="668"/>
      <c r="D26" s="670"/>
      <c r="E26" s="670"/>
      <c r="F26" s="670"/>
      <c r="G26" s="668"/>
      <c r="H26" s="670"/>
      <c r="I26" s="773"/>
    </row>
    <row r="27" spans="2:14" ht="21" customHeight="1" thickBot="1">
      <c r="B27" s="1233" t="s">
        <v>119</v>
      </c>
      <c r="C27" s="1111"/>
      <c r="D27" s="1111"/>
      <c r="E27" s="1111"/>
      <c r="F27" s="1138"/>
      <c r="G27" s="1362">
        <f>MAX(I8,I14,I21)</f>
        <v>18</v>
      </c>
      <c r="H27" s="1138"/>
      <c r="I27" s="697"/>
      <c r="J27" s="1"/>
      <c r="K27" s="1"/>
      <c r="L27" s="1"/>
      <c r="M27" s="1"/>
      <c r="N27" s="1"/>
    </row>
    <row r="28" spans="2:14" ht="6.75" customHeight="1" thickBot="1">
      <c r="B28" s="1"/>
      <c r="C28" s="1"/>
      <c r="D28" s="14"/>
      <c r="E28" s="14"/>
      <c r="F28" s="14"/>
      <c r="G28" s="1"/>
      <c r="H28" s="14"/>
      <c r="I28" s="777"/>
      <c r="J28" s="705"/>
    </row>
    <row r="29" spans="2:14" ht="21.75" customHeight="1" thickBot="1">
      <c r="B29" s="1110" t="s">
        <v>130</v>
      </c>
      <c r="C29" s="1111"/>
      <c r="D29" s="1111"/>
      <c r="E29" s="1111"/>
      <c r="F29" s="1140"/>
      <c r="G29" s="1168">
        <f>G27</f>
        <v>18</v>
      </c>
      <c r="H29" s="1138"/>
      <c r="I29" s="706"/>
      <c r="J29" s="707"/>
      <c r="K29" s="1"/>
      <c r="L29" s="1"/>
      <c r="M29" s="1"/>
      <c r="N29" s="1"/>
    </row>
    <row r="30" spans="2:14" ht="7.5" customHeight="1" thickBot="1">
      <c r="B30" s="1"/>
      <c r="C30" s="1"/>
      <c r="D30" s="14"/>
      <c r="E30" s="14"/>
      <c r="F30" s="14"/>
      <c r="G30" s="1"/>
      <c r="H30" s="14"/>
      <c r="I30" s="513"/>
    </row>
    <row r="31" spans="2:14" ht="18" customHeight="1">
      <c r="B31" s="1481" t="str">
        <f>IF(D15+F15+H15&gt;1,"WARNING!  Too many options selected in Row 1"," ")</f>
        <v xml:space="preserve"> </v>
      </c>
      <c r="C31" s="1482"/>
      <c r="D31" s="1482"/>
      <c r="E31" s="1482"/>
      <c r="F31" s="1482"/>
      <c r="G31" s="1482"/>
      <c r="H31" s="1483"/>
      <c r="I31" s="513"/>
    </row>
    <row r="32" spans="2:14" ht="18" customHeight="1">
      <c r="B32" s="1484" t="str">
        <f>IF(D16+F16+H16&gt;1,"WARNING!  Too many options selected in Row 2"," ")</f>
        <v xml:space="preserve"> </v>
      </c>
      <c r="C32" s="1485"/>
      <c r="D32" s="1485"/>
      <c r="E32" s="1485"/>
      <c r="F32" s="1485"/>
      <c r="G32" s="1485"/>
      <c r="H32" s="1486"/>
      <c r="I32" s="513"/>
    </row>
    <row r="33" spans="2:9" ht="18" customHeight="1">
      <c r="B33" s="1484" t="str">
        <f>IF(D17+F17+H17&gt;1,"WARNING!  Too many options selected in Row 3"," ")</f>
        <v xml:space="preserve"> </v>
      </c>
      <c r="C33" s="1485"/>
      <c r="D33" s="1485"/>
      <c r="E33" s="1485"/>
      <c r="F33" s="1485"/>
      <c r="G33" s="1485"/>
      <c r="H33" s="1486"/>
      <c r="I33" s="513"/>
    </row>
    <row r="34" spans="2:9" ht="18" customHeight="1">
      <c r="B34" s="1484" t="str">
        <f>IF(D18+F18+H18&gt;1,"WARNING!  Too many options selected in Row 4"," ")</f>
        <v xml:space="preserve"> </v>
      </c>
      <c r="C34" s="1485"/>
      <c r="D34" s="1485"/>
      <c r="E34" s="1485"/>
      <c r="F34" s="1485"/>
      <c r="G34" s="1485"/>
      <c r="H34" s="1486"/>
    </row>
    <row r="35" spans="2:9" ht="18" customHeight="1">
      <c r="B35" s="1484" t="str">
        <f>IF(D21+F21+H21&gt;1,"WARNING!  Too many options selected in Row 5"," ")</f>
        <v xml:space="preserve"> </v>
      </c>
      <c r="C35" s="1485"/>
      <c r="D35" s="1485"/>
      <c r="E35" s="1485"/>
      <c r="F35" s="1485"/>
      <c r="G35" s="1485"/>
      <c r="H35" s="1486"/>
    </row>
    <row r="36" spans="2:9" ht="18" customHeight="1">
      <c r="B36" s="1484" t="str">
        <f>IF(D22+F22+H22&gt;1,"WARNING!  Too many options selected in Row 6"," ")</f>
        <v xml:space="preserve"> </v>
      </c>
      <c r="C36" s="1485"/>
      <c r="D36" s="1485"/>
      <c r="E36" s="1485"/>
      <c r="F36" s="1485"/>
      <c r="G36" s="1485"/>
      <c r="H36" s="1486"/>
    </row>
    <row r="37" spans="2:9" ht="18" customHeight="1">
      <c r="B37" s="1484" t="str">
        <f>IF(D23+F23+H23&gt;1,"WARNING!  Too many options selected in Row 7"," ")</f>
        <v xml:space="preserve"> </v>
      </c>
      <c r="C37" s="1485"/>
      <c r="D37" s="1485"/>
      <c r="E37" s="1485"/>
      <c r="F37" s="1485"/>
      <c r="G37" s="1485"/>
      <c r="H37" s="1486"/>
    </row>
    <row r="38" spans="2:9" ht="18" customHeight="1" thickBot="1">
      <c r="B38" s="1478" t="str">
        <f>IF(D24+F24+H24&gt;1,"WARNING!  Too many options selected in Row 8"," ")</f>
        <v xml:space="preserve"> </v>
      </c>
      <c r="C38" s="1479"/>
      <c r="D38" s="1479"/>
      <c r="E38" s="1479"/>
      <c r="F38" s="1479"/>
      <c r="G38" s="1479"/>
      <c r="H38" s="1480"/>
    </row>
  </sheetData>
  <mergeCells count="26">
    <mergeCell ref="B2:H2"/>
    <mergeCell ref="J2:N2"/>
    <mergeCell ref="J3:N25"/>
    <mergeCell ref="C5:D5"/>
    <mergeCell ref="E5:F5"/>
    <mergeCell ref="G5:H5"/>
    <mergeCell ref="C13:D13"/>
    <mergeCell ref="B20:H20"/>
    <mergeCell ref="E7:G7"/>
    <mergeCell ref="E8:H8"/>
    <mergeCell ref="B12:H12"/>
    <mergeCell ref="B6:H6"/>
    <mergeCell ref="E13:H13"/>
    <mergeCell ref="B14:H14"/>
    <mergeCell ref="B38:H38"/>
    <mergeCell ref="B27:F27"/>
    <mergeCell ref="G27:H27"/>
    <mergeCell ref="B29:F29"/>
    <mergeCell ref="G29:H29"/>
    <mergeCell ref="B31:H31"/>
    <mergeCell ref="B32:H32"/>
    <mergeCell ref="B33:H33"/>
    <mergeCell ref="B34:H34"/>
    <mergeCell ref="B35:H35"/>
    <mergeCell ref="B36:H36"/>
    <mergeCell ref="B37:H37"/>
  </mergeCells>
  <pageMargins left="0.70866141732283472" right="0.70866141732283472" top="0.74803149606299213" bottom="0.74803149606299213" header="0" footer="0"/>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K62"/>
  <sheetViews>
    <sheetView showGridLines="0" tabSelected="1" topLeftCell="A31" zoomScale="73" zoomScaleNormal="73" workbookViewId="0">
      <selection activeCell="F41" sqref="F41"/>
    </sheetView>
  </sheetViews>
  <sheetFormatPr defaultColWidth="14.42578125" defaultRowHeight="15" customHeight="1"/>
  <cols>
    <col min="1" max="1" width="2.140625" customWidth="1"/>
    <col min="2" max="2" width="44.140625" customWidth="1"/>
    <col min="3" max="3" width="10.85546875" customWidth="1"/>
    <col min="4" max="4" width="12.140625" customWidth="1"/>
    <col min="5" max="5" width="12" customWidth="1"/>
    <col min="6" max="6" width="16.140625" customWidth="1"/>
    <col min="7" max="7" width="7.5703125" customWidth="1"/>
    <col min="8" max="8" width="12.5703125" customWidth="1"/>
    <col min="9" max="9" width="13.85546875" customWidth="1"/>
    <col min="10" max="10" width="11.140625" customWidth="1"/>
    <col min="11" max="11" width="24.85546875" customWidth="1"/>
    <col min="12" max="12" width="2.5703125" customWidth="1"/>
    <col min="13" max="26" width="8.85546875" customWidth="1"/>
  </cols>
  <sheetData>
    <row r="2" spans="2:11" ht="17.45" customHeight="1">
      <c r="B2" s="1089" t="s">
        <v>28</v>
      </c>
      <c r="C2" s="1090"/>
      <c r="D2" s="1090"/>
      <c r="E2" s="1090"/>
      <c r="F2" s="1090"/>
      <c r="G2" s="1090"/>
      <c r="H2" s="1090"/>
      <c r="I2" s="1090"/>
      <c r="J2" s="1090"/>
      <c r="K2" s="1091"/>
    </row>
    <row r="3" spans="2:11" ht="18" customHeight="1">
      <c r="B3" s="61">
        <v>1</v>
      </c>
      <c r="C3" s="62">
        <v>2</v>
      </c>
      <c r="D3" s="62">
        <v>3</v>
      </c>
      <c r="E3" s="1092">
        <v>4</v>
      </c>
      <c r="F3" s="1081"/>
      <c r="G3" s="1081"/>
      <c r="H3" s="1081"/>
      <c r="I3" s="1081"/>
      <c r="J3" s="1082"/>
      <c r="K3" s="64">
        <v>5</v>
      </c>
    </row>
    <row r="4" spans="2:11" ht="38.25" customHeight="1">
      <c r="B4" s="65"/>
      <c r="C4" s="66" t="s">
        <v>29</v>
      </c>
      <c r="D4" s="66" t="s">
        <v>30</v>
      </c>
      <c r="E4" s="1093" t="s">
        <v>31</v>
      </c>
      <c r="F4" s="1081"/>
      <c r="G4" s="1081"/>
      <c r="H4" s="1081"/>
      <c r="I4" s="1081"/>
      <c r="J4" s="1082"/>
      <c r="K4" s="67" t="s">
        <v>32</v>
      </c>
    </row>
    <row r="5" spans="2:11" ht="15" customHeight="1">
      <c r="B5" s="1065" t="s">
        <v>33</v>
      </c>
      <c r="C5" s="1018"/>
      <c r="D5" s="1018"/>
      <c r="E5" s="1018"/>
      <c r="F5" s="1018"/>
      <c r="G5" s="1018"/>
      <c r="H5" s="1018"/>
      <c r="I5" s="1018"/>
      <c r="J5" s="1018"/>
      <c r="K5" s="1023"/>
    </row>
    <row r="6" spans="2:11" ht="15" customHeight="1">
      <c r="B6" s="68" t="s">
        <v>34</v>
      </c>
      <c r="C6" s="69">
        <v>0</v>
      </c>
      <c r="D6" s="70"/>
      <c r="E6" s="1066"/>
      <c r="F6" s="1050"/>
      <c r="G6" s="1050"/>
      <c r="H6" s="1050"/>
      <c r="I6" s="1050"/>
      <c r="J6" s="1051"/>
      <c r="K6" s="1070" t="s">
        <v>35</v>
      </c>
    </row>
    <row r="7" spans="2:11" ht="26.25">
      <c r="B7" s="71" t="s">
        <v>36</v>
      </c>
      <c r="C7" s="69">
        <v>1</v>
      </c>
      <c r="D7" s="72">
        <f>'1 Age'!C13</f>
        <v>3</v>
      </c>
      <c r="E7" s="1052"/>
      <c r="F7" s="1045"/>
      <c r="G7" s="1045"/>
      <c r="H7" s="1045"/>
      <c r="I7" s="1045"/>
      <c r="J7" s="1053"/>
      <c r="K7" s="1063"/>
    </row>
    <row r="8" spans="2:11" ht="17.45" customHeight="1">
      <c r="B8" s="71" t="s">
        <v>37</v>
      </c>
      <c r="C8" s="69">
        <v>3</v>
      </c>
      <c r="D8" s="73"/>
      <c r="E8" s="1054"/>
      <c r="F8" s="1055"/>
      <c r="G8" s="1055"/>
      <c r="H8" s="1055"/>
      <c r="I8" s="1055"/>
      <c r="J8" s="1056"/>
      <c r="K8" s="1064"/>
    </row>
    <row r="9" spans="2:11" ht="15" customHeight="1">
      <c r="B9" s="1084" t="s">
        <v>38</v>
      </c>
      <c r="C9" s="1018"/>
      <c r="D9" s="1018"/>
      <c r="E9" s="1018"/>
      <c r="F9" s="1018"/>
      <c r="G9" s="1018"/>
      <c r="H9" s="1018"/>
      <c r="I9" s="1018"/>
      <c r="J9" s="1018"/>
      <c r="K9" s="1023"/>
    </row>
    <row r="10" spans="2:11" ht="15.75" customHeight="1">
      <c r="B10" s="74" t="s">
        <v>39</v>
      </c>
      <c r="C10" s="75">
        <v>0</v>
      </c>
      <c r="D10" s="76"/>
      <c r="E10" s="1066"/>
      <c r="F10" s="1050"/>
      <c r="G10" s="1050"/>
      <c r="H10" s="1050"/>
      <c r="I10" s="1050"/>
      <c r="J10" s="1051"/>
      <c r="K10" s="1070" t="s">
        <v>40</v>
      </c>
    </row>
    <row r="11" spans="2:11" ht="15" customHeight="1">
      <c r="B11" s="74" t="s">
        <v>41</v>
      </c>
      <c r="C11" s="75">
        <v>8</v>
      </c>
      <c r="D11" s="72">
        <f>'2 IDF'!E21</f>
        <v>0</v>
      </c>
      <c r="E11" s="1052"/>
      <c r="F11" s="1045"/>
      <c r="G11" s="1045"/>
      <c r="H11" s="1045"/>
      <c r="I11" s="1045"/>
      <c r="J11" s="1053"/>
      <c r="K11" s="1063"/>
    </row>
    <row r="12" spans="2:11" ht="15" customHeight="1">
      <c r="B12" s="74" t="s">
        <v>42</v>
      </c>
      <c r="C12" s="75">
        <v>16</v>
      </c>
      <c r="D12" s="77"/>
      <c r="E12" s="1054"/>
      <c r="F12" s="1055"/>
      <c r="G12" s="1055"/>
      <c r="H12" s="1055"/>
      <c r="I12" s="1055"/>
      <c r="J12" s="1056"/>
      <c r="K12" s="1064"/>
    </row>
    <row r="13" spans="2:11" ht="15" customHeight="1">
      <c r="B13" s="1085" t="s">
        <v>43</v>
      </c>
      <c r="C13" s="1086"/>
      <c r="D13" s="1086"/>
      <c r="E13" s="1086"/>
      <c r="F13" s="1086"/>
      <c r="G13" s="1086"/>
      <c r="H13" s="1086"/>
      <c r="I13" s="1086"/>
      <c r="J13" s="1086"/>
      <c r="K13" s="1087"/>
    </row>
    <row r="14" spans="2:11" ht="15" customHeight="1">
      <c r="B14" s="74" t="s">
        <v>44</v>
      </c>
      <c r="C14" s="75">
        <v>0</v>
      </c>
      <c r="D14" s="78"/>
      <c r="E14" s="1066"/>
      <c r="F14" s="1050"/>
      <c r="G14" s="1050"/>
      <c r="H14" s="1050"/>
      <c r="I14" s="1050"/>
      <c r="J14" s="1051"/>
      <c r="K14" s="1088" t="s">
        <v>45</v>
      </c>
    </row>
    <row r="15" spans="2:11" ht="15" customHeight="1">
      <c r="B15" s="68" t="s">
        <v>46</v>
      </c>
      <c r="C15" s="75">
        <v>1</v>
      </c>
      <c r="D15" s="79"/>
      <c r="E15" s="1052"/>
      <c r="F15" s="1045"/>
      <c r="G15" s="1045"/>
      <c r="H15" s="1045"/>
      <c r="I15" s="1045"/>
      <c r="J15" s="1053"/>
      <c r="K15" s="1058"/>
    </row>
    <row r="16" spans="2:11" ht="15" customHeight="1">
      <c r="B16" s="68" t="s">
        <v>47</v>
      </c>
      <c r="C16" s="75">
        <v>4</v>
      </c>
      <c r="D16" s="72">
        <f>'3 Seismic design'!I11</f>
        <v>6.6666666666666661</v>
      </c>
      <c r="E16" s="1052"/>
      <c r="F16" s="1045"/>
      <c r="G16" s="1045"/>
      <c r="H16" s="1045"/>
      <c r="I16" s="1045"/>
      <c r="J16" s="1053"/>
      <c r="K16" s="1058"/>
    </row>
    <row r="17" spans="2:11" ht="15" customHeight="1">
      <c r="B17" s="68" t="s">
        <v>48</v>
      </c>
      <c r="C17" s="75">
        <v>8</v>
      </c>
      <c r="D17" s="80"/>
      <c r="E17" s="1054"/>
      <c r="F17" s="1055"/>
      <c r="G17" s="1055"/>
      <c r="H17" s="1055"/>
      <c r="I17" s="1055"/>
      <c r="J17" s="1056"/>
      <c r="K17" s="1059"/>
    </row>
    <row r="18" spans="2:11" ht="15" customHeight="1">
      <c r="B18" s="1072" t="s">
        <v>49</v>
      </c>
      <c r="C18" s="1073"/>
      <c r="D18" s="1073"/>
      <c r="E18" s="1073"/>
      <c r="F18" s="1073"/>
      <c r="G18" s="1073"/>
      <c r="H18" s="1073"/>
      <c r="I18" s="1073"/>
      <c r="J18" s="1073"/>
      <c r="K18" s="1074"/>
    </row>
    <row r="19" spans="2:11" ht="15" customHeight="1">
      <c r="B19" s="81" t="s">
        <v>50</v>
      </c>
      <c r="C19" s="82">
        <v>0</v>
      </c>
      <c r="D19" s="76"/>
      <c r="E19" s="1066"/>
      <c r="F19" s="1050"/>
      <c r="G19" s="1050"/>
      <c r="H19" s="1050"/>
      <c r="I19" s="1050"/>
      <c r="J19" s="1075"/>
      <c r="K19" s="83" t="s">
        <v>51</v>
      </c>
    </row>
    <row r="20" spans="2:11">
      <c r="B20" s="84" t="s">
        <v>52</v>
      </c>
      <c r="C20" s="82">
        <v>4</v>
      </c>
      <c r="D20" s="72">
        <f>'4 Landslides'!G23</f>
        <v>4.5</v>
      </c>
      <c r="E20" s="1052"/>
      <c r="F20" s="1045"/>
      <c r="G20" s="1045"/>
      <c r="H20" s="1045"/>
      <c r="I20" s="1045"/>
      <c r="J20" s="1076"/>
      <c r="K20" s="85"/>
    </row>
    <row r="21" spans="2:11" ht="15.75" customHeight="1">
      <c r="B21" s="84" t="s">
        <v>53</v>
      </c>
      <c r="C21" s="82">
        <v>7</v>
      </c>
      <c r="D21" s="77"/>
      <c r="E21" s="1054"/>
      <c r="F21" s="1055"/>
      <c r="G21" s="1055"/>
      <c r="H21" s="1055"/>
      <c r="I21" s="1055"/>
      <c r="J21" s="1077"/>
      <c r="K21" s="86"/>
    </row>
    <row r="22" spans="2:11" ht="15.75" customHeight="1">
      <c r="B22" s="87"/>
      <c r="C22" s="24"/>
      <c r="D22" s="88"/>
      <c r="E22" s="32"/>
      <c r="F22" s="32"/>
      <c r="G22" s="24"/>
      <c r="H22" s="1"/>
      <c r="I22" s="1"/>
      <c r="J22" s="1"/>
      <c r="K22" s="89"/>
    </row>
    <row r="23" spans="2:11" ht="16.5" customHeight="1">
      <c r="B23" s="1078"/>
      <c r="C23" s="1051"/>
      <c r="D23" s="1080" t="s">
        <v>54</v>
      </c>
      <c r="E23" s="1081"/>
      <c r="F23" s="1082"/>
      <c r="G23" s="1083" t="s">
        <v>31</v>
      </c>
      <c r="H23" s="1050"/>
      <c r="I23" s="1050"/>
      <c r="J23" s="1051"/>
      <c r="K23" s="89"/>
    </row>
    <row r="24" spans="2:11" ht="15.75" customHeight="1">
      <c r="B24" s="1079"/>
      <c r="C24" s="1056"/>
      <c r="D24" s="90" t="s">
        <v>55</v>
      </c>
      <c r="E24" s="90" t="s">
        <v>56</v>
      </c>
      <c r="F24" s="90" t="s">
        <v>7</v>
      </c>
      <c r="G24" s="1054"/>
      <c r="H24" s="1055"/>
      <c r="I24" s="1055"/>
      <c r="J24" s="1056"/>
      <c r="K24" s="89"/>
    </row>
    <row r="25" spans="2:11" ht="15" customHeight="1">
      <c r="B25" s="1065" t="s">
        <v>57</v>
      </c>
      <c r="C25" s="1018"/>
      <c r="D25" s="1018"/>
      <c r="E25" s="1018"/>
      <c r="F25" s="1018"/>
      <c r="G25" s="1018"/>
      <c r="H25" s="1018"/>
      <c r="I25" s="1018"/>
      <c r="J25" s="1018"/>
      <c r="K25" s="1023"/>
    </row>
    <row r="26" spans="2:11" ht="15" customHeight="1">
      <c r="B26" s="91" t="s">
        <v>58</v>
      </c>
      <c r="C26" s="69">
        <v>0</v>
      </c>
      <c r="D26" s="92"/>
      <c r="E26" s="93"/>
      <c r="F26" s="76"/>
      <c r="G26" s="972"/>
      <c r="H26" s="970"/>
      <c r="I26" s="970"/>
      <c r="J26" s="804"/>
      <c r="K26" s="1070" t="s">
        <v>59</v>
      </c>
    </row>
    <row r="27" spans="2:11" ht="14.25" customHeight="1">
      <c r="B27" s="91" t="s">
        <v>60</v>
      </c>
      <c r="C27" s="69">
        <v>1</v>
      </c>
      <c r="D27" s="94"/>
      <c r="E27" s="95"/>
      <c r="F27" s="96"/>
      <c r="G27" s="805"/>
      <c r="J27" s="806"/>
      <c r="K27" s="1063"/>
    </row>
    <row r="28" spans="2:11" ht="15.75" customHeight="1">
      <c r="B28" s="91" t="s">
        <v>61</v>
      </c>
      <c r="C28" s="69">
        <v>2</v>
      </c>
      <c r="D28" s="97">
        <f>'5 Length'!C13</f>
        <v>1</v>
      </c>
      <c r="E28" s="98">
        <f>'5 Length'!D13</f>
        <v>3</v>
      </c>
      <c r="F28" s="72">
        <f>'5 Length'!E13</f>
        <v>0</v>
      </c>
      <c r="G28" s="805"/>
      <c r="J28" s="806"/>
      <c r="K28" s="1063"/>
    </row>
    <row r="29" spans="2:11" ht="15.75" customHeight="1">
      <c r="B29" s="91" t="s">
        <v>62</v>
      </c>
      <c r="C29" s="69">
        <v>3</v>
      </c>
      <c r="D29" s="99"/>
      <c r="E29" s="100"/>
      <c r="F29" s="101"/>
      <c r="G29" s="807"/>
      <c r="H29" s="971"/>
      <c r="I29" s="971"/>
      <c r="J29" s="808"/>
      <c r="K29" s="1064"/>
    </row>
    <row r="30" spans="2:11" ht="15" customHeight="1">
      <c r="B30" s="1065" t="s">
        <v>63</v>
      </c>
      <c r="C30" s="1018"/>
      <c r="D30" s="1018"/>
      <c r="E30" s="1018"/>
      <c r="F30" s="1018"/>
      <c r="G30" s="1018"/>
      <c r="H30" s="1018"/>
      <c r="I30" s="1018"/>
      <c r="J30" s="1018"/>
      <c r="K30" s="1023"/>
    </row>
    <row r="31" spans="2:11" ht="15.75" customHeight="1">
      <c r="B31" s="91" t="s">
        <v>64</v>
      </c>
      <c r="C31" s="69">
        <v>0</v>
      </c>
      <c r="D31" s="1060" t="s">
        <v>65</v>
      </c>
      <c r="E31" s="1051"/>
      <c r="F31" s="76"/>
      <c r="G31" s="1061"/>
      <c r="H31" s="1050"/>
      <c r="I31" s="1050"/>
      <c r="J31" s="1051"/>
      <c r="K31" s="1062" t="s">
        <v>66</v>
      </c>
    </row>
    <row r="32" spans="2:11" ht="15.75" customHeight="1">
      <c r="B32" s="102" t="s">
        <v>67</v>
      </c>
      <c r="C32" s="103">
        <v>6</v>
      </c>
      <c r="D32" s="1052"/>
      <c r="E32" s="1053"/>
      <c r="F32" s="72">
        <f>'6 Conduits'!G18</f>
        <v>6</v>
      </c>
      <c r="G32" s="1052"/>
      <c r="H32" s="1045"/>
      <c r="I32" s="1045"/>
      <c r="J32" s="1053"/>
      <c r="K32" s="1063"/>
    </row>
    <row r="33" spans="2:11" ht="15.75" customHeight="1">
      <c r="B33" s="104" t="s">
        <v>68</v>
      </c>
      <c r="C33" s="105">
        <v>15</v>
      </c>
      <c r="D33" s="1054"/>
      <c r="E33" s="1056"/>
      <c r="F33" s="106"/>
      <c r="G33" s="1054"/>
      <c r="H33" s="1055"/>
      <c r="I33" s="1055"/>
      <c r="J33" s="1056"/>
      <c r="K33" s="1064"/>
    </row>
    <row r="34" spans="2:11" ht="15" customHeight="1">
      <c r="B34" s="1065" t="s">
        <v>69</v>
      </c>
      <c r="C34" s="1018"/>
      <c r="D34" s="1018"/>
      <c r="E34" s="1018"/>
      <c r="F34" s="1018"/>
      <c r="G34" s="1018"/>
      <c r="H34" s="1018"/>
      <c r="I34" s="1018"/>
      <c r="J34" s="1018"/>
      <c r="K34" s="1023"/>
    </row>
    <row r="35" spans="2:11" ht="15.75" customHeight="1">
      <c r="B35" s="107" t="s">
        <v>70</v>
      </c>
      <c r="C35" s="108">
        <v>0</v>
      </c>
      <c r="D35" s="1071" t="s">
        <v>65</v>
      </c>
      <c r="E35" s="1051"/>
      <c r="F35" s="76"/>
      <c r="G35" s="1066"/>
      <c r="H35" s="1050"/>
      <c r="I35" s="1050"/>
      <c r="J35" s="1051"/>
      <c r="K35" s="1062" t="s">
        <v>71</v>
      </c>
    </row>
    <row r="36" spans="2:11" ht="15.75" customHeight="1">
      <c r="B36" s="91" t="s">
        <v>72</v>
      </c>
      <c r="C36" s="109">
        <v>10</v>
      </c>
      <c r="D36" s="1052"/>
      <c r="E36" s="1053"/>
      <c r="F36" s="72">
        <f>'7 Filters'!E18</f>
        <v>12</v>
      </c>
      <c r="G36" s="1052"/>
      <c r="H36" s="1045"/>
      <c r="I36" s="1045"/>
      <c r="J36" s="1053"/>
      <c r="K36" s="1063"/>
    </row>
    <row r="37" spans="2:11" ht="15.75" customHeight="1">
      <c r="B37" s="91" t="s">
        <v>73</v>
      </c>
      <c r="C37" s="109">
        <v>24</v>
      </c>
      <c r="D37" s="1054"/>
      <c r="E37" s="1056"/>
      <c r="F37" s="77"/>
      <c r="G37" s="1054"/>
      <c r="H37" s="1055"/>
      <c r="I37" s="1055"/>
      <c r="J37" s="1056"/>
      <c r="K37" s="1064"/>
    </row>
    <row r="38" spans="2:11" ht="15.75" customHeight="1">
      <c r="B38" s="1067" t="s">
        <v>74</v>
      </c>
      <c r="C38" s="1018"/>
      <c r="D38" s="1018"/>
      <c r="E38" s="1018"/>
      <c r="F38" s="1018"/>
      <c r="G38" s="1018"/>
      <c r="H38" s="1018"/>
      <c r="I38" s="1018"/>
      <c r="J38" s="1018"/>
      <c r="K38" s="1023"/>
    </row>
    <row r="39" spans="2:11" ht="15" customHeight="1">
      <c r="B39" s="110" t="s">
        <v>75</v>
      </c>
      <c r="C39" s="111">
        <v>0</v>
      </c>
      <c r="D39" s="809"/>
      <c r="E39" s="804"/>
      <c r="F39" s="76"/>
      <c r="G39" s="1049"/>
      <c r="H39" s="1050"/>
      <c r="I39" s="1050"/>
      <c r="J39" s="1051"/>
      <c r="K39" s="1057" t="s">
        <v>76</v>
      </c>
    </row>
    <row r="40" spans="2:11" ht="15" customHeight="1">
      <c r="B40" s="110" t="s">
        <v>77</v>
      </c>
      <c r="C40" s="111">
        <v>1</v>
      </c>
      <c r="D40" s="805"/>
      <c r="E40" s="806"/>
      <c r="F40" s="72"/>
      <c r="G40" s="1052"/>
      <c r="H40" s="1045"/>
      <c r="I40" s="1045"/>
      <c r="J40" s="1053"/>
      <c r="K40" s="1058"/>
    </row>
    <row r="41" spans="2:11" ht="15.75" customHeight="1">
      <c r="B41" s="110" t="s">
        <v>78</v>
      </c>
      <c r="C41" s="111">
        <v>4</v>
      </c>
      <c r="D41" s="1068">
        <f>'8 Foundation'!K23</f>
        <v>0</v>
      </c>
      <c r="E41" s="1069"/>
      <c r="F41" s="72">
        <f>'8 Foundation'!K56</f>
        <v>28</v>
      </c>
      <c r="G41" s="1052"/>
      <c r="H41" s="1045"/>
      <c r="I41" s="1045"/>
      <c r="J41" s="1053"/>
      <c r="K41" s="1058"/>
    </row>
    <row r="42" spans="2:11" ht="15.75" customHeight="1">
      <c r="B42" s="110" t="s">
        <v>79</v>
      </c>
      <c r="C42" s="111">
        <v>13</v>
      </c>
      <c r="D42" s="805"/>
      <c r="E42" s="806"/>
      <c r="F42" s="72"/>
      <c r="G42" s="1052"/>
      <c r="H42" s="1045"/>
      <c r="I42" s="1045"/>
      <c r="J42" s="1053"/>
      <c r="K42" s="1058"/>
    </row>
    <row r="43" spans="2:11" ht="15.75" customHeight="1">
      <c r="B43" s="71" t="s">
        <v>80</v>
      </c>
      <c r="C43" s="105">
        <v>28</v>
      </c>
      <c r="D43" s="807"/>
      <c r="E43" s="808"/>
      <c r="F43" s="77"/>
      <c r="G43" s="1054"/>
      <c r="H43" s="1055"/>
      <c r="I43" s="1055"/>
      <c r="J43" s="1056"/>
      <c r="K43" s="1059"/>
    </row>
    <row r="44" spans="2:11" ht="8.25" customHeight="1">
      <c r="B44" s="17"/>
      <c r="C44" s="24"/>
      <c r="D44" s="32"/>
      <c r="E44" s="32"/>
      <c r="F44" s="32"/>
      <c r="G44" s="24"/>
      <c r="H44" s="24"/>
      <c r="I44" s="1"/>
      <c r="J44" s="1"/>
      <c r="K44" s="24"/>
    </row>
    <row r="45" spans="2:11" ht="15.75" customHeight="1">
      <c r="B45" s="112" t="s">
        <v>81</v>
      </c>
      <c r="C45" s="113">
        <f>D7+D11+D16+D20+'5 Length'!H13+F32+F36+MAX(D39:F43)</f>
        <v>63.166666666666664</v>
      </c>
      <c r="D45" s="114" t="str">
        <f>IF(D62&gt;1,"WARNING! ONLY ONE VALUE ALLOWED IN THIS COLUMN!","")</f>
        <v/>
      </c>
      <c r="E45" s="114" t="str">
        <f>IF(E62&gt;1,"WARNING! ONLY ONE VALUE ALLOWED IN THIS COLUMN!","")</f>
        <v/>
      </c>
      <c r="F45" s="114" t="str">
        <f>IF(F62&gt;1,"WARNING! ONLY ONE VALUE ALLOWED IN THIS COLUMN!","")</f>
        <v/>
      </c>
      <c r="G45" s="115"/>
      <c r="H45" s="116"/>
      <c r="I45" s="116"/>
      <c r="J45" s="116"/>
      <c r="K45" s="24"/>
    </row>
    <row r="46" spans="2:11" ht="9" customHeight="1">
      <c r="B46" s="17"/>
      <c r="C46" s="24"/>
      <c r="D46" s="114"/>
      <c r="E46" s="114"/>
      <c r="F46" s="114"/>
      <c r="G46" s="24"/>
      <c r="H46" s="24"/>
      <c r="I46" s="1"/>
      <c r="J46" s="1"/>
      <c r="K46" s="24"/>
    </row>
    <row r="47" spans="2:11" ht="18" customHeight="1">
      <c r="B47" s="117" t="s">
        <v>82</v>
      </c>
      <c r="C47" s="118">
        <f>C8+C12+C17+C21+C29+C33+C37+C43</f>
        <v>104</v>
      </c>
      <c r="D47" s="114"/>
      <c r="E47" s="114"/>
      <c r="F47" s="114"/>
      <c r="G47" s="119"/>
      <c r="H47" s="58"/>
      <c r="I47" s="58"/>
      <c r="J47" s="58"/>
      <c r="K47" s="24"/>
    </row>
    <row r="62" spans="3:6" ht="15" customHeight="1">
      <c r="C62" s="123" t="s">
        <v>83</v>
      </c>
      <c r="D62" s="124">
        <f>COUNTA(D43)</f>
        <v>0</v>
      </c>
      <c r="E62" s="124">
        <f>COUNTA(E43)</f>
        <v>0</v>
      </c>
      <c r="F62" s="124">
        <f>COUNTA(F43)</f>
        <v>0</v>
      </c>
    </row>
  </sheetData>
  <mergeCells count="31">
    <mergeCell ref="B2:K2"/>
    <mergeCell ref="E3:J3"/>
    <mergeCell ref="E4:J4"/>
    <mergeCell ref="B5:K5"/>
    <mergeCell ref="E6:J8"/>
    <mergeCell ref="K6:K8"/>
    <mergeCell ref="B9:K9"/>
    <mergeCell ref="E10:J12"/>
    <mergeCell ref="K10:K12"/>
    <mergeCell ref="B13:K13"/>
    <mergeCell ref="E14:J17"/>
    <mergeCell ref="K14:K17"/>
    <mergeCell ref="B25:K25"/>
    <mergeCell ref="K26:K29"/>
    <mergeCell ref="B30:K30"/>
    <mergeCell ref="D35:E37"/>
    <mergeCell ref="B18:K18"/>
    <mergeCell ref="E19:J21"/>
    <mergeCell ref="B23:C24"/>
    <mergeCell ref="D23:F23"/>
    <mergeCell ref="G23:J24"/>
    <mergeCell ref="G39:J43"/>
    <mergeCell ref="K39:K43"/>
    <mergeCell ref="D31:E33"/>
    <mergeCell ref="G31:J33"/>
    <mergeCell ref="K31:K33"/>
    <mergeCell ref="B34:K34"/>
    <mergeCell ref="G35:J37"/>
    <mergeCell ref="K35:K37"/>
    <mergeCell ref="B38:K38"/>
    <mergeCell ref="D41:E41"/>
  </mergeCells>
  <dataValidations count="7">
    <dataValidation type="decimal" allowBlank="1" showErrorMessage="1" sqref="D6:D8 D10:D12 D19">
      <formula1>C6</formula1>
      <formula2>C8</formula2>
    </dataValidation>
    <dataValidation type="decimal" allowBlank="1" showErrorMessage="1" sqref="F26:F29">
      <formula1>C26</formula1>
      <formula2>C29</formula2>
    </dataValidation>
    <dataValidation type="decimal" allowBlank="1" showErrorMessage="1" sqref="F35 F37">
      <formula1>C35</formula1>
      <formula2>C37</formula2>
    </dataValidation>
    <dataValidation type="decimal" operator="lessThanOrEqual" allowBlank="1" showErrorMessage="1" sqref="D62:F62">
      <formula1>1</formula1>
    </dataValidation>
    <dataValidation type="decimal" allowBlank="1" showErrorMessage="1" sqref="D14:D15 D20:D21">
      <formula1>C14</formula1>
      <formula2>C17</formula2>
    </dataValidation>
    <dataValidation type="decimal" allowBlank="1" showErrorMessage="1" sqref="D17">
      <formula1>C17</formula1>
      <formula2>#REF!</formula2>
    </dataValidation>
    <dataValidation type="custom" allowBlank="1" showErrorMessage="1" sqref="D16">
      <formula1>Q15</formula1>
    </dataValidation>
  </dataValidations>
  <pageMargins left="0.7" right="0.7" top="0.75" bottom="0.75" header="0" footer="0"/>
  <pageSetup orientation="portrait"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B2:P39"/>
  <sheetViews>
    <sheetView topLeftCell="A11" zoomScale="79" zoomScaleNormal="79" workbookViewId="0">
      <selection activeCell="D26" sqref="D26"/>
    </sheetView>
  </sheetViews>
  <sheetFormatPr defaultColWidth="14.42578125" defaultRowHeight="15" customHeight="1"/>
  <cols>
    <col min="1" max="1" width="2.85546875" customWidth="1"/>
    <col min="2" max="2" width="47.85546875" customWidth="1"/>
    <col min="3" max="3" width="10.140625" customWidth="1"/>
    <col min="4" max="4" width="9.85546875" customWidth="1"/>
    <col min="5" max="5" width="8.140625" customWidth="1"/>
    <col min="6" max="6" width="11.85546875" customWidth="1"/>
    <col min="7" max="7" width="1.140625" customWidth="1"/>
    <col min="8" max="8" width="7.140625" customWidth="1"/>
    <col min="9" max="9" width="7.85546875" customWidth="1"/>
    <col min="10" max="26" width="8.85546875" customWidth="1"/>
  </cols>
  <sheetData>
    <row r="2" spans="2:7" ht="26.25" customHeight="1">
      <c r="B2" s="1511" t="s">
        <v>468</v>
      </c>
      <c r="C2" s="1081"/>
      <c r="D2" s="1082"/>
      <c r="E2" s="1"/>
      <c r="F2" s="708">
        <v>1000</v>
      </c>
      <c r="G2" s="709"/>
    </row>
    <row r="3" spans="2:7" ht="12" customHeight="1">
      <c r="B3" s="710"/>
      <c r="C3" s="711"/>
      <c r="D3" s="711"/>
      <c r="E3" s="1"/>
      <c r="F3" s="712"/>
      <c r="G3" s="713"/>
    </row>
    <row r="4" spans="2:7" ht="29.25" customHeight="1">
      <c r="B4" s="714"/>
      <c r="C4" s="715" t="s">
        <v>29</v>
      </c>
      <c r="D4" s="716" t="s">
        <v>30</v>
      </c>
      <c r="E4" s="1512" t="s">
        <v>31</v>
      </c>
      <c r="F4" s="1081"/>
      <c r="G4" s="1082"/>
    </row>
    <row r="5" spans="2:7">
      <c r="B5" s="1513" t="s">
        <v>469</v>
      </c>
      <c r="C5" s="1514"/>
      <c r="D5" s="1514"/>
      <c r="E5" s="1514"/>
      <c r="F5" s="1514"/>
      <c r="G5" s="1515"/>
    </row>
    <row r="6" spans="2:7">
      <c r="B6" s="717" t="s">
        <v>470</v>
      </c>
      <c r="C6" s="718">
        <v>0</v>
      </c>
      <c r="D6" s="719"/>
      <c r="E6" s="1516"/>
      <c r="F6" s="1228"/>
      <c r="G6" s="1510"/>
    </row>
    <row r="7" spans="2:7">
      <c r="B7" s="720" t="s">
        <v>471</v>
      </c>
      <c r="C7" s="721">
        <v>30</v>
      </c>
      <c r="D7" s="719"/>
      <c r="E7" s="1052"/>
      <c r="F7" s="1045"/>
      <c r="G7" s="1053"/>
    </row>
    <row r="8" spans="2:7">
      <c r="B8" s="720" t="s">
        <v>472</v>
      </c>
      <c r="C8" s="721">
        <v>50</v>
      </c>
      <c r="D8" s="719"/>
      <c r="E8" s="1052"/>
      <c r="F8" s="1045"/>
      <c r="G8" s="1053"/>
    </row>
    <row r="9" spans="2:7">
      <c r="B9" s="720" t="s">
        <v>473</v>
      </c>
      <c r="C9" s="721">
        <v>82</v>
      </c>
      <c r="D9" s="722">
        <f>10.883*F2^0.2196</f>
        <v>49.60764713611934</v>
      </c>
      <c r="E9" s="1052"/>
      <c r="F9" s="1045"/>
      <c r="G9" s="1053"/>
    </row>
    <row r="10" spans="2:7">
      <c r="B10" s="720" t="s">
        <v>474</v>
      </c>
      <c r="C10" s="721">
        <v>136</v>
      </c>
      <c r="D10" s="719"/>
      <c r="E10" s="1052"/>
      <c r="F10" s="1045"/>
      <c r="G10" s="1053"/>
    </row>
    <row r="11" spans="2:7">
      <c r="B11" s="720" t="s">
        <v>475</v>
      </c>
      <c r="C11" s="721">
        <v>226</v>
      </c>
      <c r="D11" s="719"/>
      <c r="E11" s="1052"/>
      <c r="F11" s="1045"/>
      <c r="G11" s="1053"/>
    </row>
    <row r="12" spans="2:7">
      <c r="B12" s="723" t="s">
        <v>476</v>
      </c>
      <c r="C12" s="721">
        <v>375</v>
      </c>
      <c r="D12" s="719"/>
      <c r="E12" s="1054"/>
      <c r="F12" s="1055"/>
      <c r="G12" s="1056"/>
    </row>
    <row r="13" spans="2:7" ht="15" customHeight="1">
      <c r="B13" s="1517" t="s">
        <v>477</v>
      </c>
      <c r="C13" s="1081"/>
      <c r="D13" s="1081"/>
      <c r="E13" s="1081"/>
      <c r="F13" s="1081"/>
      <c r="G13" s="1082"/>
    </row>
    <row r="14" spans="2:7">
      <c r="B14" s="724" t="s">
        <v>478</v>
      </c>
      <c r="C14" s="725">
        <v>0</v>
      </c>
      <c r="D14" s="76"/>
      <c r="E14" s="1509"/>
      <c r="F14" s="1228"/>
      <c r="G14" s="1510"/>
    </row>
    <row r="15" spans="2:7">
      <c r="B15" s="726" t="s">
        <v>479</v>
      </c>
      <c r="C15" s="727">
        <v>2</v>
      </c>
      <c r="D15" s="96"/>
      <c r="E15" s="1052"/>
      <c r="F15" s="1045"/>
      <c r="G15" s="1053"/>
    </row>
    <row r="16" spans="2:7">
      <c r="B16" s="726" t="s">
        <v>480</v>
      </c>
      <c r="C16" s="727">
        <v>9</v>
      </c>
      <c r="D16" s="728">
        <f>'2 Environment'!K14</f>
        <v>21</v>
      </c>
      <c r="E16" s="1052"/>
      <c r="F16" s="1045"/>
      <c r="G16" s="1053"/>
    </row>
    <row r="17" spans="2:7">
      <c r="B17" s="726" t="s">
        <v>481</v>
      </c>
      <c r="C17" s="727">
        <v>20</v>
      </c>
      <c r="D17" s="96"/>
      <c r="E17" s="1052"/>
      <c r="F17" s="1045"/>
      <c r="G17" s="1053"/>
    </row>
    <row r="18" spans="2:7">
      <c r="B18" s="220" t="s">
        <v>482</v>
      </c>
      <c r="C18" s="729">
        <v>35</v>
      </c>
      <c r="D18" s="77"/>
      <c r="E18" s="1052"/>
      <c r="F18" s="1045"/>
      <c r="G18" s="1053"/>
    </row>
    <row r="19" spans="2:7">
      <c r="B19" s="1430" t="s">
        <v>483</v>
      </c>
      <c r="C19" s="1081"/>
      <c r="D19" s="1081"/>
      <c r="E19" s="1081"/>
      <c r="F19" s="1081"/>
      <c r="G19" s="1082"/>
    </row>
    <row r="20" spans="2:7" ht="25.5">
      <c r="B20" s="589" t="s">
        <v>484</v>
      </c>
      <c r="C20" s="730">
        <v>0</v>
      </c>
      <c r="D20" s="76"/>
      <c r="E20" s="1518"/>
      <c r="F20" s="1050"/>
      <c r="G20" s="1051"/>
    </row>
    <row r="21" spans="2:7" ht="25.5">
      <c r="B21" s="190" t="s">
        <v>485</v>
      </c>
      <c r="C21" s="540">
        <v>3</v>
      </c>
      <c r="D21" s="96"/>
      <c r="E21" s="1052"/>
      <c r="F21" s="1045"/>
      <c r="G21" s="1053"/>
    </row>
    <row r="22" spans="2:7" ht="25.5">
      <c r="B22" s="280" t="s">
        <v>486</v>
      </c>
      <c r="C22" s="540">
        <v>16</v>
      </c>
      <c r="D22" s="72">
        <f>'3 Soc-econ'!K19</f>
        <v>12.857142857142858</v>
      </c>
      <c r="E22" s="1052"/>
      <c r="F22" s="1045"/>
      <c r="G22" s="1053"/>
    </row>
    <row r="23" spans="2:7" ht="25.5">
      <c r="B23" s="280" t="s">
        <v>487</v>
      </c>
      <c r="C23" s="540">
        <v>44</v>
      </c>
      <c r="D23" s="96"/>
      <c r="E23" s="1052"/>
      <c r="F23" s="1045"/>
      <c r="G23" s="1053"/>
    </row>
    <row r="24" spans="2:7" ht="38.25">
      <c r="B24" s="190" t="s">
        <v>488</v>
      </c>
      <c r="C24" s="727">
        <v>90</v>
      </c>
      <c r="D24" s="77"/>
      <c r="E24" s="1054"/>
      <c r="F24" s="1055"/>
      <c r="G24" s="1056"/>
    </row>
    <row r="25" spans="2:7" ht="15.75" customHeight="1">
      <c r="B25" s="1519" t="s">
        <v>489</v>
      </c>
      <c r="C25" s="1081"/>
      <c r="D25" s="1081"/>
      <c r="E25" s="1081"/>
      <c r="F25" s="1081"/>
      <c r="G25" s="1082"/>
    </row>
    <row r="26" spans="2:7" ht="30.75" customHeight="1">
      <c r="B26" s="1452" t="s">
        <v>490</v>
      </c>
      <c r="C26" s="1082"/>
      <c r="D26" s="731" t="s">
        <v>491</v>
      </c>
      <c r="E26" s="1452"/>
      <c r="F26" s="1081"/>
      <c r="G26" s="1082"/>
    </row>
    <row r="27" spans="2:7" ht="6" customHeight="1">
      <c r="B27" s="60"/>
      <c r="C27" s="1"/>
      <c r="D27" s="682" t="s">
        <v>492</v>
      </c>
      <c r="E27" s="569" t="s">
        <v>491</v>
      </c>
      <c r="F27" s="1"/>
      <c r="G27" s="1"/>
    </row>
    <row r="28" spans="2:7" ht="15" customHeight="1">
      <c r="B28" s="607" t="s">
        <v>493</v>
      </c>
      <c r="C28" s="608">
        <f>D9+D16+D22</f>
        <v>83.464789993262201</v>
      </c>
      <c r="D28" s="14"/>
      <c r="E28" s="1"/>
      <c r="F28" s="1"/>
      <c r="G28" s="1"/>
    </row>
    <row r="29" spans="2:7" ht="6" customHeight="1">
      <c r="B29" s="60"/>
      <c r="C29" s="1"/>
      <c r="D29" s="14"/>
      <c r="E29" s="1"/>
      <c r="F29" s="1"/>
      <c r="G29" s="1"/>
    </row>
    <row r="30" spans="2:7" ht="15.75" customHeight="1">
      <c r="B30" s="732" t="s">
        <v>82</v>
      </c>
      <c r="C30" s="733">
        <f>C12+C18+C24</f>
        <v>500</v>
      </c>
      <c r="D30" s="14"/>
      <c r="E30" s="1"/>
      <c r="F30" s="1"/>
      <c r="G30" s="1"/>
    </row>
    <row r="31" spans="2:7" ht="15" customHeight="1">
      <c r="B31" s="60"/>
      <c r="C31" s="1"/>
      <c r="D31" s="14"/>
      <c r="E31" s="1"/>
      <c r="F31" s="1"/>
      <c r="G31" s="1"/>
    </row>
    <row r="32" spans="2:7" ht="15" customHeight="1">
      <c r="B32" s="1520" t="str">
        <f>IF(D26=0,"Please indicate if a failure of this dam could cause a cascade failure (yes or no)","")</f>
        <v/>
      </c>
      <c r="C32" s="1018"/>
      <c r="D32" s="1018"/>
      <c r="E32" s="1018"/>
      <c r="F32" s="1521"/>
      <c r="G32" s="1"/>
    </row>
    <row r="33" spans="15:16" ht="15" customHeight="1">
      <c r="O33">
        <v>0</v>
      </c>
      <c r="P33" s="718">
        <v>0</v>
      </c>
    </row>
    <row r="34" spans="15:16" ht="15.75" customHeight="1">
      <c r="O34">
        <v>100</v>
      </c>
      <c r="P34" s="721">
        <v>30</v>
      </c>
    </row>
    <row r="35" spans="15:16" ht="15" customHeight="1">
      <c r="O35">
        <v>1000</v>
      </c>
      <c r="P35" s="721">
        <v>50</v>
      </c>
    </row>
    <row r="36" spans="15:16" ht="13.5" customHeight="1">
      <c r="O36">
        <v>10000</v>
      </c>
      <c r="P36" s="721">
        <v>82</v>
      </c>
    </row>
    <row r="37" spans="15:16" ht="11.25" customHeight="1">
      <c r="O37">
        <v>100000</v>
      </c>
      <c r="P37" s="721">
        <v>136</v>
      </c>
    </row>
    <row r="38" spans="15:16" ht="18" customHeight="1">
      <c r="O38">
        <v>1000000</v>
      </c>
      <c r="P38" s="721">
        <v>226</v>
      </c>
    </row>
    <row r="39" spans="15:16" ht="29.25" customHeight="1">
      <c r="O39">
        <v>10000000</v>
      </c>
      <c r="P39" s="721">
        <v>375</v>
      </c>
    </row>
  </sheetData>
  <mergeCells count="12">
    <mergeCell ref="E20:G24"/>
    <mergeCell ref="B25:G25"/>
    <mergeCell ref="B26:C26"/>
    <mergeCell ref="E26:G26"/>
    <mergeCell ref="B32:F32"/>
    <mergeCell ref="E14:G18"/>
    <mergeCell ref="B19:G19"/>
    <mergeCell ref="B2:D2"/>
    <mergeCell ref="E4:G4"/>
    <mergeCell ref="B5:G5"/>
    <mergeCell ref="E6:G12"/>
    <mergeCell ref="B13:G13"/>
  </mergeCells>
  <dataValidations count="3">
    <dataValidation type="decimal" allowBlank="1" showErrorMessage="1" sqref="F2">
      <formula1>0</formula1>
      <formula2>99999999999</formula2>
    </dataValidation>
    <dataValidation type="decimal" allowBlank="1" showErrorMessage="1" sqref="D14:D18 D20:D24">
      <formula1>C14</formula1>
      <formula2>C18</formula2>
    </dataValidation>
    <dataValidation type="list" allowBlank="1" showErrorMessage="1" sqref="D26">
      <formula1>$D$27:$E$27</formula1>
    </dataValidation>
  </dataValidations>
  <pageMargins left="0.7" right="0.7" top="0.75" bottom="0.75" header="0" footer="0"/>
  <pageSetup orientation="portrait"/>
  <drawing r:id="rId1"/>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S20"/>
  <sheetViews>
    <sheetView showGridLines="0" topLeftCell="A7" zoomScale="75" zoomScaleNormal="75" workbookViewId="0">
      <selection activeCell="B9" sqref="B9"/>
    </sheetView>
  </sheetViews>
  <sheetFormatPr defaultColWidth="14.42578125" defaultRowHeight="15" customHeight="1"/>
  <cols>
    <col min="1" max="1" width="4.85546875" customWidth="1"/>
    <col min="2" max="2" width="8.85546875" customWidth="1"/>
    <col min="3" max="3" width="27.85546875" customWidth="1"/>
    <col min="4" max="4" width="2.85546875" customWidth="1"/>
    <col min="5" max="5" width="26.85546875" customWidth="1"/>
    <col min="6" max="6" width="3" customWidth="1"/>
    <col min="7" max="7" width="26" customWidth="1"/>
    <col min="8" max="8" width="3.140625" customWidth="1"/>
    <col min="9" max="9" width="29.85546875" customWidth="1"/>
    <col min="10" max="10" width="3.85546875" customWidth="1"/>
    <col min="11" max="11" width="28.140625" customWidth="1"/>
    <col min="12" max="12" width="3.85546875" customWidth="1"/>
    <col min="13" max="13" width="2.85546875" customWidth="1"/>
    <col min="14" max="14" width="16.85546875" customWidth="1"/>
    <col min="15" max="15" width="20.140625" customWidth="1"/>
    <col min="16" max="26" width="8.85546875" customWidth="1"/>
  </cols>
  <sheetData>
    <row r="2" spans="2:19" ht="21">
      <c r="B2" s="1348" t="s">
        <v>494</v>
      </c>
      <c r="C2" s="1090"/>
      <c r="D2" s="1090"/>
      <c r="E2" s="1090"/>
      <c r="F2" s="1090"/>
      <c r="G2" s="1090"/>
      <c r="H2" s="1090"/>
      <c r="I2" s="1090"/>
      <c r="J2" s="1090"/>
      <c r="K2" s="1090"/>
      <c r="L2" s="1091"/>
      <c r="M2" s="1"/>
      <c r="N2" s="1236" t="s">
        <v>582</v>
      </c>
      <c r="O2" s="1111"/>
      <c r="P2" s="1111"/>
      <c r="Q2" s="1111"/>
      <c r="R2" s="1111"/>
      <c r="S2" s="1138"/>
    </row>
    <row r="3" spans="2:19" ht="17.25" customHeight="1">
      <c r="B3" s="549" t="s">
        <v>121</v>
      </c>
      <c r="C3" s="310">
        <v>1</v>
      </c>
      <c r="D3" s="311">
        <v>2</v>
      </c>
      <c r="E3" s="311">
        <v>3</v>
      </c>
      <c r="F3" s="311">
        <v>4</v>
      </c>
      <c r="G3" s="311">
        <v>5</v>
      </c>
      <c r="H3" s="311">
        <v>6</v>
      </c>
      <c r="I3" s="311">
        <v>7</v>
      </c>
      <c r="J3" s="311">
        <v>8</v>
      </c>
      <c r="K3" s="311">
        <v>9</v>
      </c>
      <c r="L3" s="312">
        <v>10</v>
      </c>
      <c r="M3" s="1"/>
      <c r="N3" s="486"/>
      <c r="O3" s="204"/>
      <c r="P3" s="204"/>
      <c r="Q3" s="734"/>
      <c r="R3" s="734"/>
      <c r="S3" s="735"/>
    </row>
    <row r="4" spans="2:19" ht="32.25" customHeight="1">
      <c r="B4" s="550"/>
      <c r="C4" s="319" t="s">
        <v>495</v>
      </c>
      <c r="D4" s="736">
        <f>PI!C14</f>
        <v>0</v>
      </c>
      <c r="E4" s="317" t="s">
        <v>496</v>
      </c>
      <c r="F4" s="316">
        <f>PI!C15</f>
        <v>2</v>
      </c>
      <c r="G4" s="317" t="s">
        <v>497</v>
      </c>
      <c r="H4" s="316">
        <f>PI!C16</f>
        <v>9</v>
      </c>
      <c r="I4" s="317" t="s">
        <v>498</v>
      </c>
      <c r="J4" s="316">
        <f>PI!C17</f>
        <v>20</v>
      </c>
      <c r="K4" s="317" t="s">
        <v>499</v>
      </c>
      <c r="L4" s="318">
        <f>PI!C18</f>
        <v>35</v>
      </c>
      <c r="M4" s="1"/>
      <c r="N4" s="486"/>
      <c r="O4" s="204"/>
      <c r="P4" s="204"/>
      <c r="Q4" s="204"/>
      <c r="R4" s="204"/>
      <c r="S4" s="463"/>
    </row>
    <row r="5" spans="2:19" ht="22.5" customHeight="1">
      <c r="B5" s="181" t="s">
        <v>126</v>
      </c>
      <c r="C5" s="1135" t="s">
        <v>127</v>
      </c>
      <c r="D5" s="1081"/>
      <c r="E5" s="1135" t="s">
        <v>500</v>
      </c>
      <c r="F5" s="1081"/>
      <c r="G5" s="1081"/>
      <c r="H5" s="1081"/>
      <c r="I5" s="1081"/>
      <c r="J5" s="1081"/>
      <c r="K5" s="1081"/>
      <c r="L5" s="1098"/>
      <c r="M5" s="1"/>
      <c r="N5" s="486"/>
      <c r="O5" s="204"/>
      <c r="P5" s="204"/>
      <c r="Q5" s="204"/>
      <c r="R5" s="204"/>
      <c r="S5" s="463"/>
    </row>
    <row r="6" spans="2:19" ht="86.25" customHeight="1">
      <c r="B6" s="157">
        <v>1</v>
      </c>
      <c r="C6" s="219" t="s">
        <v>501</v>
      </c>
      <c r="D6" s="631"/>
      <c r="E6" s="190" t="s">
        <v>502</v>
      </c>
      <c r="F6" s="737"/>
      <c r="G6" s="190" t="s">
        <v>503</v>
      </c>
      <c r="H6" s="738">
        <v>1</v>
      </c>
      <c r="I6" s="190" t="s">
        <v>504</v>
      </c>
      <c r="J6" s="738"/>
      <c r="K6" s="190" t="s">
        <v>505</v>
      </c>
      <c r="L6" s="185"/>
      <c r="M6" s="1"/>
      <c r="N6" s="486"/>
      <c r="O6" s="204"/>
      <c r="P6" s="204"/>
      <c r="Q6" s="204"/>
      <c r="R6" s="204"/>
      <c r="S6" s="463"/>
    </row>
    <row r="7" spans="2:19" ht="127.5" customHeight="1">
      <c r="B7" s="157">
        <v>2</v>
      </c>
      <c r="C7" s="191" t="s">
        <v>506</v>
      </c>
      <c r="D7" s="188"/>
      <c r="E7" s="190" t="s">
        <v>507</v>
      </c>
      <c r="F7" s="739"/>
      <c r="G7" s="184" t="s">
        <v>508</v>
      </c>
      <c r="H7" s="739"/>
      <c r="I7" s="190" t="s">
        <v>509</v>
      </c>
      <c r="J7" s="739">
        <v>1</v>
      </c>
      <c r="K7" s="580" t="s">
        <v>510</v>
      </c>
      <c r="L7" s="189"/>
      <c r="M7" s="1"/>
      <c r="N7" s="486"/>
      <c r="O7" s="204"/>
      <c r="P7" s="204"/>
      <c r="Q7" s="204"/>
      <c r="R7" s="204"/>
      <c r="S7" s="463"/>
    </row>
    <row r="8" spans="2:19" ht="83.25" customHeight="1">
      <c r="B8" s="157">
        <v>3</v>
      </c>
      <c r="C8" s="191" t="s">
        <v>511</v>
      </c>
      <c r="D8" s="188"/>
      <c r="E8" s="190" t="s">
        <v>512</v>
      </c>
      <c r="F8" s="739"/>
      <c r="G8" s="190" t="s">
        <v>513</v>
      </c>
      <c r="H8" s="739"/>
      <c r="I8" s="184" t="s">
        <v>514</v>
      </c>
      <c r="J8" s="739">
        <v>1</v>
      </c>
      <c r="K8" s="184" t="s">
        <v>515</v>
      </c>
      <c r="L8" s="189"/>
      <c r="M8" s="1"/>
      <c r="N8" s="486"/>
      <c r="O8" s="204"/>
      <c r="P8" s="204"/>
      <c r="Q8" s="204"/>
      <c r="R8" s="204"/>
      <c r="S8" s="463"/>
    </row>
    <row r="9" spans="2:19" ht="117" customHeight="1">
      <c r="B9" s="157">
        <v>4</v>
      </c>
      <c r="C9" s="219" t="s">
        <v>516</v>
      </c>
      <c r="D9" s="740"/>
      <c r="E9" s="190" t="s">
        <v>517</v>
      </c>
      <c r="F9" s="741"/>
      <c r="G9" s="328" t="s">
        <v>518</v>
      </c>
      <c r="H9" s="192"/>
      <c r="I9" s="328" t="s">
        <v>519</v>
      </c>
      <c r="J9" s="281"/>
      <c r="K9" s="190" t="s">
        <v>520</v>
      </c>
      <c r="L9" s="742">
        <v>1</v>
      </c>
      <c r="M9" s="1"/>
      <c r="N9" s="486"/>
      <c r="O9" s="204"/>
      <c r="P9" s="204"/>
      <c r="Q9" s="138"/>
      <c r="R9" s="138"/>
      <c r="S9" s="465"/>
    </row>
    <row r="10" spans="2:19">
      <c r="B10" s="560"/>
      <c r="C10" s="345" t="s">
        <v>129</v>
      </c>
      <c r="D10" s="347">
        <f>SUM(D6:D9)</f>
        <v>0</v>
      </c>
      <c r="E10" s="347" t="s">
        <v>129</v>
      </c>
      <c r="F10" s="347">
        <f>SUM(F6:F9)</f>
        <v>0</v>
      </c>
      <c r="G10" s="347"/>
      <c r="H10" s="347">
        <f>SUM(H6:H9)</f>
        <v>1</v>
      </c>
      <c r="I10" s="743" t="s">
        <v>129</v>
      </c>
      <c r="J10" s="744">
        <f>SUM(J6:J9)</f>
        <v>2</v>
      </c>
      <c r="K10" s="745" t="s">
        <v>129</v>
      </c>
      <c r="L10" s="348">
        <f>SUM(L6:L9)</f>
        <v>1</v>
      </c>
      <c r="M10" s="1"/>
      <c r="N10" s="561"/>
      <c r="O10" s="562"/>
      <c r="P10" s="562"/>
      <c r="Q10" s="562"/>
      <c r="R10" s="562"/>
      <c r="S10" s="563"/>
    </row>
    <row r="11" spans="2:19" ht="6.75" customHeight="1">
      <c r="B11" s="226"/>
      <c r="C11" s="33"/>
      <c r="D11" s="32"/>
      <c r="E11" s="33"/>
      <c r="F11" s="207"/>
      <c r="G11" s="207"/>
      <c r="H11" s="224"/>
      <c r="I11" s="203"/>
      <c r="J11" s="202"/>
      <c r="K11" s="203"/>
      <c r="L11" s="203"/>
      <c r="M11" s="1"/>
    </row>
    <row r="12" spans="2:19" ht="24.75" customHeight="1">
      <c r="B12" s="1137" t="s">
        <v>270</v>
      </c>
      <c r="C12" s="1111"/>
      <c r="D12" s="1111"/>
      <c r="E12" s="1111"/>
      <c r="F12" s="1111"/>
      <c r="G12" s="1111"/>
      <c r="H12" s="1111"/>
      <c r="I12" s="1111"/>
      <c r="J12" s="1138"/>
      <c r="K12" s="1234">
        <f>(F10*F4+H10*H4+J10*J4+L10*L4)/4</f>
        <v>21</v>
      </c>
      <c r="L12" s="1138"/>
      <c r="M12" s="1"/>
    </row>
    <row r="13" spans="2:19" ht="5.25" customHeight="1">
      <c r="B13" s="226"/>
      <c r="C13" s="33"/>
      <c r="D13" s="125"/>
      <c r="E13" s="498"/>
      <c r="F13" s="207"/>
      <c r="G13" s="207"/>
      <c r="H13" s="207"/>
      <c r="I13" s="481"/>
      <c r="J13" s="207"/>
      <c r="K13" s="455"/>
      <c r="L13" s="223"/>
      <c r="M13" s="1"/>
    </row>
    <row r="14" spans="2:19" ht="24.75" customHeight="1">
      <c r="B14" s="1139" t="s">
        <v>120</v>
      </c>
      <c r="C14" s="1111"/>
      <c r="D14" s="1111"/>
      <c r="E14" s="1111"/>
      <c r="F14" s="1111"/>
      <c r="G14" s="1111"/>
      <c r="H14" s="1111"/>
      <c r="I14" s="1111"/>
      <c r="J14" s="1111"/>
      <c r="K14" s="1399">
        <f>K12</f>
        <v>21</v>
      </c>
      <c r="L14" s="1138"/>
      <c r="M14" s="1"/>
    </row>
    <row r="17" spans="2:12" ht="15.75">
      <c r="B17" s="1522" t="str">
        <f>IF(SUM(D6:K6)&gt;1,"WARNING!  Too many options selected in Row 1","")</f>
        <v/>
      </c>
      <c r="C17" s="1050"/>
      <c r="D17" s="1050"/>
      <c r="E17" s="1050"/>
      <c r="F17" s="1050"/>
      <c r="G17" s="1050"/>
      <c r="H17" s="1050"/>
      <c r="I17" s="1050"/>
      <c r="J17" s="1050"/>
      <c r="K17" s="1050"/>
      <c r="L17" s="1051"/>
    </row>
    <row r="18" spans="2:12" ht="15.75">
      <c r="B18" s="1523" t="str">
        <f>IF(SUM(D7:K7)&gt;1,"WARNING!  Too many options selected in Row 2","")</f>
        <v/>
      </c>
      <c r="C18" s="1045"/>
      <c r="D18" s="1045"/>
      <c r="E18" s="1045"/>
      <c r="F18" s="1045"/>
      <c r="G18" s="1045"/>
      <c r="H18" s="1045"/>
      <c r="I18" s="1045"/>
      <c r="J18" s="1045"/>
      <c r="K18" s="1045"/>
      <c r="L18" s="1053"/>
    </row>
    <row r="19" spans="2:12" ht="15.75">
      <c r="B19" s="1523" t="str">
        <f>IF(SUM(D8:K8)&gt;1,"WARNING!  Too many options selected in Row 3","")</f>
        <v/>
      </c>
      <c r="C19" s="1045"/>
      <c r="D19" s="1045"/>
      <c r="E19" s="1045"/>
      <c r="F19" s="1045"/>
      <c r="G19" s="1045"/>
      <c r="H19" s="1045"/>
      <c r="I19" s="1045"/>
      <c r="J19" s="1045"/>
      <c r="K19" s="1045"/>
      <c r="L19" s="1053"/>
    </row>
    <row r="20" spans="2:12" ht="15.75">
      <c r="B20" s="1524" t="str">
        <f>IF(SUM(D9:K9)&gt;1,"WARNING!  Too many options selected in Row 4","")</f>
        <v/>
      </c>
      <c r="C20" s="1055"/>
      <c r="D20" s="1055"/>
      <c r="E20" s="1055"/>
      <c r="F20" s="1055"/>
      <c r="G20" s="1055"/>
      <c r="H20" s="1055"/>
      <c r="I20" s="1055"/>
      <c r="J20" s="1055"/>
      <c r="K20" s="1055"/>
      <c r="L20" s="1056"/>
    </row>
  </sheetData>
  <mergeCells count="12">
    <mergeCell ref="B14:J14"/>
    <mergeCell ref="B17:L17"/>
    <mergeCell ref="B18:L18"/>
    <mergeCell ref="B19:L19"/>
    <mergeCell ref="B20:L20"/>
    <mergeCell ref="K14:L14"/>
    <mergeCell ref="B2:L2"/>
    <mergeCell ref="N2:S2"/>
    <mergeCell ref="C5:D5"/>
    <mergeCell ref="E5:L5"/>
    <mergeCell ref="B12:J12"/>
    <mergeCell ref="K12:L12"/>
  </mergeCells>
  <pageMargins left="0.7" right="0.7" top="0.75" bottom="0.75" header="0" footer="0"/>
  <pageSetup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R27"/>
  <sheetViews>
    <sheetView zoomScale="72" zoomScaleNormal="72" workbookViewId="0">
      <selection activeCell="C15" sqref="C15"/>
    </sheetView>
  </sheetViews>
  <sheetFormatPr defaultColWidth="14.42578125" defaultRowHeight="15" customHeight="1"/>
  <cols>
    <col min="1" max="1" width="4" customWidth="1"/>
    <col min="2" max="2" width="8.140625" customWidth="1"/>
    <col min="3" max="3" width="25.85546875" customWidth="1"/>
    <col min="4" max="4" width="2.85546875" customWidth="1"/>
    <col min="5" max="5" width="25.85546875" customWidth="1"/>
    <col min="6" max="6" width="3" customWidth="1"/>
    <col min="7" max="7" width="29" customWidth="1"/>
    <col min="8" max="8" width="3.85546875" customWidth="1"/>
    <col min="9" max="9" width="28.42578125" customWidth="1"/>
    <col min="10" max="10" width="3.85546875" customWidth="1"/>
    <col min="11" max="11" width="32.42578125" customWidth="1"/>
    <col min="12" max="12" width="4.140625" customWidth="1"/>
    <col min="13" max="13" width="1.85546875" customWidth="1"/>
    <col min="14" max="14" width="28.85546875" customWidth="1"/>
    <col min="15" max="15" width="8.85546875" customWidth="1"/>
    <col min="16" max="16" width="15.85546875" customWidth="1"/>
    <col min="17" max="26" width="8.85546875" customWidth="1"/>
  </cols>
  <sheetData>
    <row r="2" spans="2:18" ht="21">
      <c r="B2" s="1348" t="s">
        <v>521</v>
      </c>
      <c r="C2" s="1090"/>
      <c r="D2" s="1090"/>
      <c r="E2" s="1090"/>
      <c r="F2" s="1090"/>
      <c r="G2" s="1090"/>
      <c r="H2" s="1090"/>
      <c r="I2" s="1090"/>
      <c r="J2" s="1090"/>
      <c r="K2" s="1090"/>
      <c r="L2" s="1091"/>
      <c r="M2" s="1"/>
      <c r="N2" s="1236" t="s">
        <v>582</v>
      </c>
      <c r="O2" s="1111"/>
      <c r="P2" s="1111"/>
      <c r="Q2" s="1111"/>
      <c r="R2" s="1138"/>
    </row>
    <row r="3" spans="2:18" ht="12" customHeight="1">
      <c r="B3" s="746"/>
      <c r="C3" s="1530"/>
      <c r="D3" s="1021"/>
      <c r="E3" s="1021"/>
      <c r="F3" s="1021"/>
      <c r="G3" s="1021"/>
      <c r="H3" s="1021"/>
      <c r="I3" s="1021"/>
      <c r="J3" s="1021"/>
      <c r="K3" s="1021"/>
      <c r="L3" s="1225"/>
      <c r="M3" s="1"/>
      <c r="N3" s="484"/>
      <c r="O3" s="1"/>
      <c r="P3" s="1"/>
      <c r="Q3" s="1"/>
      <c r="R3" s="308"/>
    </row>
    <row r="4" spans="2:18" ht="17.25" customHeight="1">
      <c r="B4" s="549" t="s">
        <v>121</v>
      </c>
      <c r="C4" s="310">
        <v>1</v>
      </c>
      <c r="D4" s="311">
        <v>2</v>
      </c>
      <c r="E4" s="311">
        <v>3</v>
      </c>
      <c r="F4" s="311">
        <v>4</v>
      </c>
      <c r="G4" s="311">
        <v>5</v>
      </c>
      <c r="H4" s="311">
        <v>6</v>
      </c>
      <c r="I4" s="311">
        <v>7</v>
      </c>
      <c r="J4" s="311">
        <v>8</v>
      </c>
      <c r="K4" s="311">
        <v>9</v>
      </c>
      <c r="L4" s="312">
        <v>10</v>
      </c>
      <c r="M4" s="1"/>
      <c r="N4" s="747"/>
      <c r="O4" s="734"/>
      <c r="P4" s="734"/>
      <c r="Q4" s="734"/>
      <c r="R4" s="735"/>
    </row>
    <row r="5" spans="2:18" ht="33" customHeight="1">
      <c r="B5" s="1531"/>
      <c r="C5" s="315" t="s">
        <v>522</v>
      </c>
      <c r="D5" s="736">
        <f>PI!C20</f>
        <v>0</v>
      </c>
      <c r="E5" s="317" t="s">
        <v>496</v>
      </c>
      <c r="F5" s="316">
        <f>PI!C21</f>
        <v>3</v>
      </c>
      <c r="G5" s="317" t="s">
        <v>497</v>
      </c>
      <c r="H5" s="316">
        <f>PI!C22</f>
        <v>16</v>
      </c>
      <c r="I5" s="317" t="s">
        <v>498</v>
      </c>
      <c r="J5" s="316">
        <f>PI!C23</f>
        <v>44</v>
      </c>
      <c r="K5" s="317" t="s">
        <v>523</v>
      </c>
      <c r="L5" s="318">
        <f>PI!C24</f>
        <v>90</v>
      </c>
      <c r="M5" s="1"/>
      <c r="N5" s="486"/>
      <c r="O5" s="204"/>
      <c r="P5" s="204"/>
      <c r="Q5" s="204"/>
      <c r="R5" s="463"/>
    </row>
    <row r="6" spans="2:18" ht="32.25" customHeight="1">
      <c r="B6" s="1262"/>
      <c r="C6" s="1532" t="s">
        <v>524</v>
      </c>
      <c r="D6" s="1051"/>
      <c r="E6" s="1526" t="s">
        <v>525</v>
      </c>
      <c r="F6" s="1051"/>
      <c r="G6" s="1526" t="s">
        <v>526</v>
      </c>
      <c r="H6" s="1051"/>
      <c r="I6" s="1526" t="s">
        <v>527</v>
      </c>
      <c r="J6" s="1051"/>
      <c r="K6" s="1526" t="s">
        <v>528</v>
      </c>
      <c r="L6" s="1075"/>
      <c r="M6" s="1"/>
      <c r="N6" s="486"/>
      <c r="O6" s="204"/>
      <c r="P6" s="204"/>
      <c r="Q6" s="204"/>
      <c r="R6" s="463"/>
    </row>
    <row r="7" spans="2:18" ht="21.75" customHeight="1">
      <c r="B7" s="180" t="s">
        <v>126</v>
      </c>
      <c r="C7" s="1055"/>
      <c r="D7" s="1056"/>
      <c r="E7" s="1054"/>
      <c r="F7" s="1056"/>
      <c r="G7" s="1054"/>
      <c r="H7" s="1056"/>
      <c r="I7" s="1054"/>
      <c r="J7" s="1056"/>
      <c r="K7" s="1054"/>
      <c r="L7" s="1077"/>
      <c r="M7" s="1"/>
      <c r="N7" s="486"/>
      <c r="O7" s="204"/>
      <c r="P7" s="204"/>
      <c r="Q7" s="204"/>
      <c r="R7" s="463"/>
    </row>
    <row r="8" spans="2:18" ht="63.75">
      <c r="B8" s="748">
        <v>1</v>
      </c>
      <c r="C8" s="219" t="s">
        <v>529</v>
      </c>
      <c r="D8" s="631"/>
      <c r="E8" s="190" t="s">
        <v>530</v>
      </c>
      <c r="F8" s="183"/>
      <c r="G8" s="190" t="s">
        <v>531</v>
      </c>
      <c r="H8" s="183"/>
      <c r="I8" s="190" t="s">
        <v>532</v>
      </c>
      <c r="J8" s="183"/>
      <c r="K8" s="190" t="s">
        <v>533</v>
      </c>
      <c r="L8" s="185"/>
      <c r="M8" s="1"/>
      <c r="N8" s="486"/>
      <c r="O8" s="204"/>
      <c r="P8" s="204"/>
      <c r="Q8" s="204"/>
      <c r="R8" s="463"/>
    </row>
    <row r="9" spans="2:18" ht="89.25">
      <c r="B9" s="748">
        <v>2</v>
      </c>
      <c r="C9" s="191" t="s">
        <v>534</v>
      </c>
      <c r="D9" s="749"/>
      <c r="E9" s="190" t="s">
        <v>535</v>
      </c>
      <c r="F9" s="749"/>
      <c r="G9" s="184" t="s">
        <v>536</v>
      </c>
      <c r="H9" s="188"/>
      <c r="I9" s="184" t="s">
        <v>537</v>
      </c>
      <c r="J9" s="188"/>
      <c r="K9" s="184" t="s">
        <v>538</v>
      </c>
      <c r="L9" s="189"/>
      <c r="M9" s="1"/>
      <c r="N9" s="486"/>
      <c r="O9" s="204"/>
      <c r="P9" s="204"/>
      <c r="Q9" s="204"/>
      <c r="R9" s="463"/>
    </row>
    <row r="10" spans="2:18" ht="25.5">
      <c r="B10" s="748">
        <v>3</v>
      </c>
      <c r="C10" s="191" t="s">
        <v>539</v>
      </c>
      <c r="D10" s="750"/>
      <c r="E10" s="190" t="s">
        <v>540</v>
      </c>
      <c r="F10" s="188"/>
      <c r="G10" s="184" t="s">
        <v>541</v>
      </c>
      <c r="H10" s="188"/>
      <c r="I10" s="190" t="s">
        <v>542</v>
      </c>
      <c r="J10" s="188"/>
      <c r="K10" s="190" t="s">
        <v>542</v>
      </c>
      <c r="L10" s="189"/>
      <c r="M10" s="1"/>
      <c r="N10" s="486"/>
      <c r="O10" s="204"/>
      <c r="P10" s="204"/>
      <c r="Q10" s="204"/>
      <c r="R10" s="463"/>
    </row>
    <row r="11" spans="2:18" ht="38.25">
      <c r="B11" s="748">
        <v>4</v>
      </c>
      <c r="C11" s="191" t="s">
        <v>543</v>
      </c>
      <c r="D11" s="751"/>
      <c r="E11" s="190" t="s">
        <v>544</v>
      </c>
      <c r="F11" s="188"/>
      <c r="G11" s="184" t="s">
        <v>545</v>
      </c>
      <c r="H11" s="188"/>
      <c r="I11" s="190" t="s">
        <v>546</v>
      </c>
      <c r="J11" s="188"/>
      <c r="K11" s="190" t="s">
        <v>547</v>
      </c>
      <c r="L11" s="189"/>
      <c r="M11" s="1"/>
      <c r="N11" s="486"/>
      <c r="O11" s="204"/>
      <c r="P11" s="204"/>
      <c r="Q11" s="204"/>
      <c r="R11" s="463"/>
    </row>
    <row r="12" spans="2:18" ht="38.25">
      <c r="B12" s="748">
        <v>5</v>
      </c>
      <c r="C12" s="191" t="s">
        <v>548</v>
      </c>
      <c r="D12" s="749"/>
      <c r="E12" s="190" t="s">
        <v>549</v>
      </c>
      <c r="F12" s="192"/>
      <c r="G12" s="190" t="s">
        <v>550</v>
      </c>
      <c r="H12" s="752"/>
      <c r="I12" s="190" t="s">
        <v>551</v>
      </c>
      <c r="J12" s="752"/>
      <c r="K12" s="190" t="s">
        <v>552</v>
      </c>
      <c r="L12" s="189"/>
      <c r="M12" s="1"/>
      <c r="N12" s="486"/>
      <c r="O12" s="204"/>
      <c r="P12" s="204"/>
      <c r="Q12" s="204"/>
      <c r="R12" s="463"/>
    </row>
    <row r="13" spans="2:18" ht="25.5">
      <c r="B13" s="748">
        <v>6</v>
      </c>
      <c r="C13" s="191" t="s">
        <v>553</v>
      </c>
      <c r="D13" s="749"/>
      <c r="E13" s="190"/>
      <c r="F13" s="568"/>
      <c r="G13" s="184"/>
      <c r="H13" s="568"/>
      <c r="I13" s="280"/>
      <c r="J13" s="530"/>
      <c r="K13" s="580" t="s">
        <v>554</v>
      </c>
      <c r="L13" s="194"/>
      <c r="M13" s="1"/>
      <c r="N13" s="486"/>
      <c r="O13" s="204"/>
      <c r="P13" s="204"/>
      <c r="Q13" s="204"/>
      <c r="R13" s="463"/>
    </row>
    <row r="14" spans="2:18" ht="38.25">
      <c r="B14" s="748">
        <v>7</v>
      </c>
      <c r="C14" s="580" t="s">
        <v>977</v>
      </c>
      <c r="D14" s="740"/>
      <c r="E14" s="190"/>
      <c r="F14" s="128"/>
      <c r="G14" s="328"/>
      <c r="H14" s="90"/>
      <c r="I14" s="184"/>
      <c r="J14" s="753"/>
      <c r="K14" s="580" t="s">
        <v>976</v>
      </c>
      <c r="L14" s="742">
        <v>1</v>
      </c>
      <c r="M14" s="1"/>
      <c r="N14" s="488"/>
      <c r="O14" s="138"/>
      <c r="P14" s="138"/>
      <c r="Q14" s="138"/>
      <c r="R14" s="465"/>
    </row>
    <row r="15" spans="2:18" ht="15" customHeight="1">
      <c r="B15" s="754"/>
      <c r="C15" s="345" t="s">
        <v>129</v>
      </c>
      <c r="D15" s="475">
        <f>SUM(D8:D14)</f>
        <v>0</v>
      </c>
      <c r="E15" s="347" t="s">
        <v>129</v>
      </c>
      <c r="F15" s="347">
        <f>SUM(F8:F14)</f>
        <v>0</v>
      </c>
      <c r="G15" s="347"/>
      <c r="H15" s="347">
        <f>SUM(H8:H14)</f>
        <v>0</v>
      </c>
      <c r="I15" s="347" t="s">
        <v>129</v>
      </c>
      <c r="J15" s="347">
        <f>SUM(J8:J14)</f>
        <v>0</v>
      </c>
      <c r="K15" s="347" t="s">
        <v>129</v>
      </c>
      <c r="L15" s="348">
        <f>SUM(L8:L14)</f>
        <v>1</v>
      </c>
      <c r="M15" s="1"/>
      <c r="N15" s="561"/>
      <c r="O15" s="562"/>
      <c r="P15" s="562"/>
      <c r="Q15" s="562"/>
      <c r="R15" s="563"/>
    </row>
    <row r="17" spans="2:12" ht="24" customHeight="1">
      <c r="B17" s="1137" t="s">
        <v>119</v>
      </c>
      <c r="C17" s="1111"/>
      <c r="D17" s="1111"/>
      <c r="E17" s="1111"/>
      <c r="F17" s="1111"/>
      <c r="G17" s="1111"/>
      <c r="H17" s="1111"/>
      <c r="I17" s="1111"/>
      <c r="J17" s="1138"/>
      <c r="K17" s="1234">
        <f>D15*D5/7+F15*F5/5+H15*H5/5+J15*J5/5+L15*L5/7</f>
        <v>12.857142857142858</v>
      </c>
      <c r="L17" s="1138"/>
    </row>
    <row r="18" spans="2:12" ht="4.5" customHeight="1">
      <c r="B18" s="224"/>
      <c r="C18" s="59"/>
      <c r="D18" s="755"/>
      <c r="E18" s="756"/>
      <c r="F18" s="629"/>
      <c r="G18" s="629"/>
      <c r="H18" s="629"/>
      <c r="I18" s="757"/>
      <c r="J18" s="629"/>
      <c r="K18" s="758"/>
      <c r="L18" s="343"/>
    </row>
    <row r="19" spans="2:12" ht="24" customHeight="1">
      <c r="B19" s="1139" t="s">
        <v>130</v>
      </c>
      <c r="C19" s="1111"/>
      <c r="D19" s="1111"/>
      <c r="E19" s="1111"/>
      <c r="F19" s="1111"/>
      <c r="G19" s="1111"/>
      <c r="H19" s="1111"/>
      <c r="I19" s="1111"/>
      <c r="J19" s="1140"/>
      <c r="K19" s="1399">
        <f>K17</f>
        <v>12.857142857142858</v>
      </c>
      <c r="L19" s="1138"/>
    </row>
    <row r="20" spans="2:12" ht="8.25" customHeight="1">
      <c r="B20" s="224"/>
      <c r="C20" s="24"/>
      <c r="D20" s="32"/>
      <c r="E20" s="24"/>
      <c r="F20" s="224"/>
      <c r="G20" s="224"/>
      <c r="H20" s="224"/>
      <c r="I20" s="24"/>
      <c r="J20" s="224"/>
      <c r="K20" s="24"/>
      <c r="L20" s="223"/>
    </row>
    <row r="21" spans="2:12" ht="15.75" customHeight="1">
      <c r="B21" s="1529" t="str">
        <f>IF(D8+F8+H8+J8+L8&gt;1,"WARNING!  To many options selected in Row 1"," ")</f>
        <v xml:space="preserve"> </v>
      </c>
      <c r="C21" s="1090"/>
      <c r="D21" s="1090"/>
      <c r="E21" s="1090"/>
      <c r="F21" s="1090"/>
      <c r="G21" s="1090"/>
      <c r="H21" s="1090"/>
      <c r="I21" s="1090"/>
      <c r="J21" s="1090"/>
      <c r="K21" s="1090"/>
      <c r="L21" s="1527"/>
    </row>
    <row r="22" spans="2:12" ht="15.75" customHeight="1">
      <c r="B22" s="1525" t="str">
        <f>IF(D9+F9+H9+J9+L9&gt;1,"WARNING!  To many options selected in Row 2"," ")</f>
        <v xml:space="preserve"> </v>
      </c>
      <c r="C22" s="1018"/>
      <c r="D22" s="1018"/>
      <c r="E22" s="1018"/>
      <c r="F22" s="1018"/>
      <c r="G22" s="1018"/>
      <c r="H22" s="1018"/>
      <c r="I22" s="1018"/>
      <c r="J22" s="1018"/>
      <c r="K22" s="1018"/>
      <c r="L22" s="1283"/>
    </row>
    <row r="23" spans="2:12" ht="15.75" customHeight="1">
      <c r="B23" s="1525" t="str">
        <f>IF(D10+F10+H10+J10+L10&gt;1,"WARNING!  To many options selected in Row 3"," ")</f>
        <v xml:space="preserve"> </v>
      </c>
      <c r="C23" s="1018"/>
      <c r="D23" s="1018"/>
      <c r="E23" s="1018"/>
      <c r="F23" s="1018"/>
      <c r="G23" s="1018"/>
      <c r="H23" s="1018"/>
      <c r="I23" s="1018"/>
      <c r="J23" s="1018"/>
      <c r="K23" s="1018"/>
      <c r="L23" s="1283"/>
    </row>
    <row r="24" spans="2:12" ht="15.75" customHeight="1">
      <c r="B24" s="1525" t="str">
        <f>IF(D11+F11+H11+J11+L11&gt;1,"WARNING!  To many options selected in Row 4"," ")</f>
        <v xml:space="preserve"> </v>
      </c>
      <c r="C24" s="1018"/>
      <c r="D24" s="1018"/>
      <c r="E24" s="1018"/>
      <c r="F24" s="1018"/>
      <c r="G24" s="1018"/>
      <c r="H24" s="1018"/>
      <c r="I24" s="1018"/>
      <c r="J24" s="1018"/>
      <c r="K24" s="1018"/>
      <c r="L24" s="1283"/>
    </row>
    <row r="25" spans="2:12" ht="15.75" customHeight="1">
      <c r="B25" s="1525" t="str">
        <f>IF(D12+F12+H12+J12+L12&gt;1,"WARNING!  To many options selected in Row 5"," ")</f>
        <v xml:space="preserve"> </v>
      </c>
      <c r="C25" s="1018"/>
      <c r="D25" s="1018"/>
      <c r="E25" s="1018"/>
      <c r="F25" s="1018"/>
      <c r="G25" s="1018"/>
      <c r="H25" s="1018"/>
      <c r="I25" s="1018"/>
      <c r="J25" s="1018"/>
      <c r="K25" s="1018"/>
      <c r="L25" s="1283"/>
    </row>
    <row r="26" spans="2:12" ht="15.75" customHeight="1">
      <c r="B26" s="1525" t="str">
        <f>IF(D13+L13&gt;1,"WARNING!  To many options selected in Row 6"," ")</f>
        <v xml:space="preserve"> </v>
      </c>
      <c r="C26" s="1018"/>
      <c r="D26" s="1018"/>
      <c r="E26" s="1018"/>
      <c r="F26" s="1018"/>
      <c r="G26" s="1018"/>
      <c r="H26" s="1018"/>
      <c r="I26" s="1018"/>
      <c r="J26" s="1018"/>
      <c r="K26" s="1018"/>
      <c r="L26" s="1283"/>
    </row>
    <row r="27" spans="2:12" ht="15.75" customHeight="1">
      <c r="B27" s="1528" t="str">
        <f>IF(D14+L14&gt;1,"WARNING!  To many options selected in Row 7"," ")</f>
        <v xml:space="preserve"> </v>
      </c>
      <c r="C27" s="1021"/>
      <c r="D27" s="1021"/>
      <c r="E27" s="1021"/>
      <c r="F27" s="1021"/>
      <c r="G27" s="1021"/>
      <c r="H27" s="1021"/>
      <c r="I27" s="1021"/>
      <c r="J27" s="1021"/>
      <c r="K27" s="1021"/>
      <c r="L27" s="1270"/>
    </row>
  </sheetData>
  <mergeCells count="21">
    <mergeCell ref="B2:L2"/>
    <mergeCell ref="N2:R2"/>
    <mergeCell ref="C3:L3"/>
    <mergeCell ref="B5:B6"/>
    <mergeCell ref="C6:D7"/>
    <mergeCell ref="E6:F7"/>
    <mergeCell ref="G6:H7"/>
    <mergeCell ref="B26:K26"/>
    <mergeCell ref="I6:J7"/>
    <mergeCell ref="K6:L7"/>
    <mergeCell ref="B17:J17"/>
    <mergeCell ref="K17:L17"/>
    <mergeCell ref="B19:J19"/>
    <mergeCell ref="K19:L19"/>
    <mergeCell ref="L21:L27"/>
    <mergeCell ref="B27:K27"/>
    <mergeCell ref="B21:K21"/>
    <mergeCell ref="B22:K22"/>
    <mergeCell ref="B23:K23"/>
    <mergeCell ref="B24:K24"/>
    <mergeCell ref="B25:K25"/>
  </mergeCells>
  <pageMargins left="0.7" right="0.7" top="0.75" bottom="0.75" header="0" footer="0"/>
  <pageSetup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P32"/>
  <sheetViews>
    <sheetView workbookViewId="0">
      <selection activeCell="W9" sqref="W9"/>
    </sheetView>
  </sheetViews>
  <sheetFormatPr defaultColWidth="14.42578125" defaultRowHeight="15" customHeight="1"/>
  <cols>
    <col min="1" max="1" width="2.140625" customWidth="1"/>
    <col min="2" max="2" width="3.85546875" customWidth="1"/>
    <col min="3" max="26" width="8.85546875" customWidth="1"/>
  </cols>
  <sheetData>
    <row r="2" spans="2:16" ht="21">
      <c r="B2" s="1533" t="s">
        <v>555</v>
      </c>
      <c r="C2" s="1030"/>
      <c r="D2" s="1030"/>
      <c r="E2" s="1030"/>
      <c r="F2" s="1030"/>
      <c r="G2" s="1030"/>
      <c r="H2" s="1030"/>
      <c r="I2" s="1030"/>
      <c r="J2" s="1030"/>
      <c r="K2" s="1030"/>
      <c r="L2" s="1030"/>
      <c r="M2" s="1030"/>
      <c r="N2" s="1030"/>
      <c r="O2" s="1030"/>
      <c r="P2" s="1534"/>
    </row>
    <row r="3" spans="2:16">
      <c r="B3" s="759">
        <v>1</v>
      </c>
      <c r="C3" s="760"/>
      <c r="D3" s="760"/>
      <c r="E3" s="760"/>
      <c r="F3" s="760"/>
      <c r="G3" s="760"/>
      <c r="H3" s="760"/>
      <c r="I3" s="760"/>
      <c r="J3" s="760"/>
      <c r="K3" s="760"/>
      <c r="L3" s="760"/>
      <c r="M3" s="760"/>
      <c r="N3" s="760"/>
      <c r="O3" s="760"/>
      <c r="P3" s="761"/>
    </row>
    <row r="4" spans="2:16">
      <c r="B4" s="762">
        <v>2</v>
      </c>
      <c r="C4" s="763"/>
      <c r="D4" s="763"/>
      <c r="E4" s="763"/>
      <c r="F4" s="763"/>
      <c r="G4" s="763"/>
      <c r="H4" s="763"/>
      <c r="I4" s="763"/>
      <c r="J4" s="763"/>
      <c r="K4" s="763"/>
      <c r="L4" s="763"/>
      <c r="M4" s="763"/>
      <c r="N4" s="763"/>
      <c r="O4" s="763"/>
      <c r="P4" s="764"/>
    </row>
    <row r="5" spans="2:16">
      <c r="B5" s="762">
        <v>3</v>
      </c>
      <c r="C5" s="763"/>
      <c r="D5" s="763"/>
      <c r="E5" s="763"/>
      <c r="F5" s="763"/>
      <c r="G5" s="763"/>
      <c r="H5" s="763"/>
      <c r="I5" s="763"/>
      <c r="J5" s="763"/>
      <c r="K5" s="763"/>
      <c r="L5" s="763"/>
      <c r="M5" s="763"/>
      <c r="N5" s="763"/>
      <c r="O5" s="763"/>
      <c r="P5" s="764"/>
    </row>
    <row r="6" spans="2:16">
      <c r="B6" s="762">
        <v>4</v>
      </c>
      <c r="C6" s="763"/>
      <c r="D6" s="763"/>
      <c r="E6" s="763"/>
      <c r="F6" s="763"/>
      <c r="G6" s="763"/>
      <c r="H6" s="763"/>
      <c r="I6" s="763"/>
      <c r="J6" s="763"/>
      <c r="K6" s="763"/>
      <c r="L6" s="763"/>
      <c r="M6" s="763"/>
      <c r="N6" s="763"/>
      <c r="O6" s="763"/>
      <c r="P6" s="764"/>
    </row>
    <row r="7" spans="2:16">
      <c r="B7" s="762">
        <v>5</v>
      </c>
      <c r="C7" s="763"/>
      <c r="D7" s="763"/>
      <c r="E7" s="763"/>
      <c r="F7" s="763"/>
      <c r="G7" s="763"/>
      <c r="H7" s="763"/>
      <c r="I7" s="763"/>
      <c r="J7" s="763"/>
      <c r="K7" s="763"/>
      <c r="L7" s="763"/>
      <c r="M7" s="763"/>
      <c r="N7" s="763"/>
      <c r="O7" s="763"/>
      <c r="P7" s="764"/>
    </row>
    <row r="8" spans="2:16">
      <c r="B8" s="762">
        <v>6</v>
      </c>
      <c r="C8" s="763"/>
      <c r="D8" s="763"/>
      <c r="E8" s="763"/>
      <c r="F8" s="763"/>
      <c r="G8" s="763"/>
      <c r="H8" s="763"/>
      <c r="I8" s="763"/>
      <c r="J8" s="763"/>
      <c r="K8" s="763"/>
      <c r="L8" s="763"/>
      <c r="M8" s="763"/>
      <c r="N8" s="763"/>
      <c r="O8" s="763"/>
      <c r="P8" s="764"/>
    </row>
    <row r="9" spans="2:16">
      <c r="B9" s="762">
        <v>7</v>
      </c>
      <c r="C9" s="763"/>
      <c r="D9" s="763"/>
      <c r="E9" s="763"/>
      <c r="F9" s="763"/>
      <c r="G9" s="763"/>
      <c r="H9" s="763"/>
      <c r="I9" s="763"/>
      <c r="J9" s="763"/>
      <c r="K9" s="763"/>
      <c r="L9" s="763"/>
      <c r="M9" s="763"/>
      <c r="N9" s="763"/>
      <c r="O9" s="763"/>
      <c r="P9" s="764"/>
    </row>
    <row r="10" spans="2:16">
      <c r="B10" s="762">
        <v>8</v>
      </c>
      <c r="C10" s="763"/>
      <c r="D10" s="763"/>
      <c r="E10" s="763"/>
      <c r="F10" s="763"/>
      <c r="G10" s="763"/>
      <c r="H10" s="763"/>
      <c r="I10" s="763"/>
      <c r="J10" s="763"/>
      <c r="K10" s="763"/>
      <c r="L10" s="763"/>
      <c r="M10" s="763"/>
      <c r="N10" s="763"/>
      <c r="O10" s="763"/>
      <c r="P10" s="764"/>
    </row>
    <row r="11" spans="2:16">
      <c r="B11" s="762">
        <v>9</v>
      </c>
      <c r="C11" s="763"/>
      <c r="D11" s="763"/>
      <c r="E11" s="763"/>
      <c r="F11" s="763"/>
      <c r="G11" s="763"/>
      <c r="H11" s="763"/>
      <c r="I11" s="763"/>
      <c r="J11" s="763"/>
      <c r="K11" s="763"/>
      <c r="L11" s="763"/>
      <c r="M11" s="763"/>
      <c r="N11" s="763"/>
      <c r="O11" s="763"/>
      <c r="P11" s="764"/>
    </row>
    <row r="12" spans="2:16">
      <c r="B12" s="762">
        <v>10</v>
      </c>
      <c r="C12" s="763"/>
      <c r="D12" s="763"/>
      <c r="E12" s="763"/>
      <c r="F12" s="763"/>
      <c r="G12" s="763"/>
      <c r="H12" s="763"/>
      <c r="I12" s="763"/>
      <c r="J12" s="763"/>
      <c r="K12" s="763"/>
      <c r="L12" s="763"/>
      <c r="M12" s="763"/>
      <c r="N12" s="763"/>
      <c r="O12" s="763"/>
      <c r="P12" s="764"/>
    </row>
    <row r="13" spans="2:16">
      <c r="B13" s="762">
        <v>11</v>
      </c>
      <c r="C13" s="763"/>
      <c r="D13" s="763"/>
      <c r="E13" s="763"/>
      <c r="F13" s="763"/>
      <c r="G13" s="763"/>
      <c r="H13" s="763"/>
      <c r="I13" s="763"/>
      <c r="J13" s="763"/>
      <c r="K13" s="763"/>
      <c r="L13" s="763"/>
      <c r="M13" s="763"/>
      <c r="N13" s="763"/>
      <c r="O13" s="763"/>
      <c r="P13" s="764"/>
    </row>
    <row r="14" spans="2:16">
      <c r="B14" s="762">
        <v>12</v>
      </c>
      <c r="C14" s="763"/>
      <c r="D14" s="763"/>
      <c r="E14" s="763"/>
      <c r="F14" s="763"/>
      <c r="G14" s="763"/>
      <c r="H14" s="763"/>
      <c r="I14" s="763"/>
      <c r="J14" s="763"/>
      <c r="K14" s="763"/>
      <c r="L14" s="763"/>
      <c r="M14" s="763"/>
      <c r="N14" s="763"/>
      <c r="O14" s="763"/>
      <c r="P14" s="764"/>
    </row>
    <row r="15" spans="2:16">
      <c r="B15" s="762">
        <v>13</v>
      </c>
      <c r="C15" s="763"/>
      <c r="D15" s="763"/>
      <c r="E15" s="763"/>
      <c r="F15" s="763"/>
      <c r="G15" s="763"/>
      <c r="H15" s="763"/>
      <c r="I15" s="763"/>
      <c r="J15" s="763"/>
      <c r="K15" s="763"/>
      <c r="L15" s="763"/>
      <c r="M15" s="763"/>
      <c r="N15" s="763"/>
      <c r="O15" s="763"/>
      <c r="P15" s="764"/>
    </row>
    <row r="16" spans="2:16">
      <c r="B16" s="762">
        <v>14</v>
      </c>
      <c r="C16" s="763"/>
      <c r="D16" s="763"/>
      <c r="E16" s="763"/>
      <c r="F16" s="763"/>
      <c r="G16" s="763"/>
      <c r="H16" s="763"/>
      <c r="I16" s="763"/>
      <c r="J16" s="763"/>
      <c r="K16" s="763"/>
      <c r="L16" s="763"/>
      <c r="M16" s="763"/>
      <c r="N16" s="763"/>
      <c r="O16" s="763"/>
      <c r="P16" s="764"/>
    </row>
    <row r="17" spans="2:16">
      <c r="B17" s="762">
        <v>15</v>
      </c>
      <c r="C17" s="763"/>
      <c r="D17" s="763"/>
      <c r="E17" s="763"/>
      <c r="F17" s="763"/>
      <c r="G17" s="763"/>
      <c r="H17" s="763"/>
      <c r="I17" s="763"/>
      <c r="J17" s="763"/>
      <c r="K17" s="763"/>
      <c r="L17" s="763"/>
      <c r="M17" s="763"/>
      <c r="N17" s="763"/>
      <c r="O17" s="763"/>
      <c r="P17" s="764"/>
    </row>
    <row r="18" spans="2:16">
      <c r="B18" s="762">
        <v>16</v>
      </c>
      <c r="C18" s="763"/>
      <c r="D18" s="763"/>
      <c r="E18" s="763"/>
      <c r="F18" s="763"/>
      <c r="G18" s="763"/>
      <c r="H18" s="763"/>
      <c r="I18" s="763"/>
      <c r="J18" s="763"/>
      <c r="K18" s="763"/>
      <c r="L18" s="763"/>
      <c r="M18" s="763"/>
      <c r="N18" s="763"/>
      <c r="O18" s="763"/>
      <c r="P18" s="764"/>
    </row>
    <row r="19" spans="2:16">
      <c r="B19" s="762">
        <v>17</v>
      </c>
      <c r="C19" s="763"/>
      <c r="D19" s="763"/>
      <c r="E19" s="763"/>
      <c r="F19" s="763"/>
      <c r="G19" s="763"/>
      <c r="H19" s="763"/>
      <c r="I19" s="763"/>
      <c r="J19" s="763"/>
      <c r="K19" s="763"/>
      <c r="L19" s="763"/>
      <c r="M19" s="763"/>
      <c r="N19" s="763"/>
      <c r="O19" s="763"/>
      <c r="P19" s="764"/>
    </row>
    <row r="20" spans="2:16">
      <c r="B20" s="762">
        <v>18</v>
      </c>
      <c r="C20" s="763"/>
      <c r="D20" s="763"/>
      <c r="E20" s="763"/>
      <c r="F20" s="763"/>
      <c r="G20" s="763"/>
      <c r="H20" s="763"/>
      <c r="I20" s="763"/>
      <c r="J20" s="763"/>
      <c r="K20" s="763"/>
      <c r="L20" s="763"/>
      <c r="M20" s="763"/>
      <c r="N20" s="763"/>
      <c r="O20" s="763"/>
      <c r="P20" s="764"/>
    </row>
    <row r="21" spans="2:16" ht="15.75" customHeight="1">
      <c r="B21" s="762">
        <v>19</v>
      </c>
      <c r="C21" s="763"/>
      <c r="D21" s="763"/>
      <c r="E21" s="763"/>
      <c r="F21" s="763"/>
      <c r="G21" s="763"/>
      <c r="H21" s="763"/>
      <c r="I21" s="763"/>
      <c r="J21" s="763"/>
      <c r="K21" s="763"/>
      <c r="L21" s="763"/>
      <c r="M21" s="763"/>
      <c r="N21" s="763"/>
      <c r="O21" s="763"/>
      <c r="P21" s="764"/>
    </row>
    <row r="22" spans="2:16" ht="15.75" customHeight="1">
      <c r="B22" s="762">
        <v>20</v>
      </c>
      <c r="C22" s="763"/>
      <c r="D22" s="763"/>
      <c r="E22" s="763"/>
      <c r="F22" s="763"/>
      <c r="G22" s="763"/>
      <c r="H22" s="763"/>
      <c r="I22" s="763"/>
      <c r="J22" s="763"/>
      <c r="K22" s="763"/>
      <c r="L22" s="763"/>
      <c r="M22" s="763"/>
      <c r="N22" s="763"/>
      <c r="O22" s="763"/>
      <c r="P22" s="764"/>
    </row>
    <row r="23" spans="2:16" ht="15.75" customHeight="1">
      <c r="B23" s="762">
        <v>21</v>
      </c>
      <c r="C23" s="763"/>
      <c r="D23" s="763"/>
      <c r="E23" s="763"/>
      <c r="F23" s="763"/>
      <c r="G23" s="763"/>
      <c r="H23" s="763"/>
      <c r="I23" s="763"/>
      <c r="J23" s="763"/>
      <c r="K23" s="763"/>
      <c r="L23" s="763"/>
      <c r="M23" s="763"/>
      <c r="N23" s="763"/>
      <c r="O23" s="763"/>
      <c r="P23" s="764"/>
    </row>
    <row r="24" spans="2:16" ht="15.75" customHeight="1">
      <c r="B24" s="762">
        <v>22</v>
      </c>
      <c r="C24" s="763"/>
      <c r="D24" s="763"/>
      <c r="E24" s="763"/>
      <c r="F24" s="763"/>
      <c r="G24" s="763"/>
      <c r="H24" s="763"/>
      <c r="I24" s="763"/>
      <c r="J24" s="763"/>
      <c r="K24" s="763"/>
      <c r="L24" s="763"/>
      <c r="M24" s="763"/>
      <c r="N24" s="763"/>
      <c r="O24" s="763"/>
      <c r="P24" s="764"/>
    </row>
    <row r="25" spans="2:16" ht="15.75" customHeight="1">
      <c r="B25" s="762">
        <v>23</v>
      </c>
      <c r="C25" s="763"/>
      <c r="D25" s="763"/>
      <c r="E25" s="763"/>
      <c r="F25" s="763"/>
      <c r="G25" s="763"/>
      <c r="H25" s="763"/>
      <c r="I25" s="763"/>
      <c r="J25" s="763"/>
      <c r="K25" s="763"/>
      <c r="L25" s="763"/>
      <c r="M25" s="763"/>
      <c r="N25" s="763"/>
      <c r="O25" s="763"/>
      <c r="P25" s="764"/>
    </row>
    <row r="26" spans="2:16" ht="15.75" customHeight="1">
      <c r="B26" s="762">
        <v>24</v>
      </c>
      <c r="C26" s="763"/>
      <c r="D26" s="763"/>
      <c r="E26" s="763"/>
      <c r="F26" s="763"/>
      <c r="G26" s="763"/>
      <c r="H26" s="763"/>
      <c r="I26" s="763"/>
      <c r="J26" s="763"/>
      <c r="K26" s="763"/>
      <c r="L26" s="763"/>
      <c r="M26" s="763"/>
      <c r="N26" s="763"/>
      <c r="O26" s="763"/>
      <c r="P26" s="764"/>
    </row>
    <row r="27" spans="2:16" ht="15.75" customHeight="1">
      <c r="B27" s="762">
        <v>25</v>
      </c>
      <c r="C27" s="763"/>
      <c r="D27" s="763"/>
      <c r="E27" s="763"/>
      <c r="F27" s="763"/>
      <c r="G27" s="763"/>
      <c r="H27" s="763"/>
      <c r="I27" s="763"/>
      <c r="J27" s="763"/>
      <c r="K27" s="763"/>
      <c r="L27" s="763"/>
      <c r="M27" s="763"/>
      <c r="N27" s="763"/>
      <c r="O27" s="763"/>
      <c r="P27" s="764"/>
    </row>
    <row r="28" spans="2:16" ht="15.75" customHeight="1">
      <c r="B28" s="762">
        <v>26</v>
      </c>
      <c r="C28" s="763"/>
      <c r="D28" s="763"/>
      <c r="E28" s="763"/>
      <c r="F28" s="763"/>
      <c r="G28" s="763"/>
      <c r="H28" s="763"/>
      <c r="I28" s="763"/>
      <c r="J28" s="763"/>
      <c r="K28" s="763"/>
      <c r="L28" s="763"/>
      <c r="M28" s="763"/>
      <c r="N28" s="763"/>
      <c r="O28" s="763"/>
      <c r="P28" s="764"/>
    </row>
    <row r="29" spans="2:16" ht="15.75" customHeight="1">
      <c r="B29" s="762">
        <v>27</v>
      </c>
      <c r="C29" s="763"/>
      <c r="D29" s="763"/>
      <c r="E29" s="763"/>
      <c r="F29" s="763"/>
      <c r="G29" s="763"/>
      <c r="H29" s="763"/>
      <c r="I29" s="763"/>
      <c r="J29" s="763"/>
      <c r="K29" s="763"/>
      <c r="L29" s="763"/>
      <c r="M29" s="763"/>
      <c r="N29" s="763"/>
      <c r="O29" s="763"/>
      <c r="P29" s="764"/>
    </row>
    <row r="30" spans="2:16" ht="15.75" customHeight="1">
      <c r="B30" s="762">
        <v>28</v>
      </c>
      <c r="C30" s="763"/>
      <c r="D30" s="763"/>
      <c r="E30" s="763"/>
      <c r="F30" s="763"/>
      <c r="G30" s="763"/>
      <c r="H30" s="763"/>
      <c r="I30" s="763"/>
      <c r="J30" s="763"/>
      <c r="K30" s="763"/>
      <c r="L30" s="763"/>
      <c r="M30" s="763"/>
      <c r="N30" s="763"/>
      <c r="O30" s="763"/>
      <c r="P30" s="764"/>
    </row>
    <row r="31" spans="2:16" ht="15.75" customHeight="1">
      <c r="B31" s="762">
        <v>29</v>
      </c>
      <c r="C31" s="763"/>
      <c r="D31" s="763"/>
      <c r="E31" s="763"/>
      <c r="F31" s="763"/>
      <c r="G31" s="763"/>
      <c r="H31" s="763"/>
      <c r="I31" s="763"/>
      <c r="J31" s="763"/>
      <c r="K31" s="763"/>
      <c r="L31" s="763"/>
      <c r="M31" s="763"/>
      <c r="N31" s="763"/>
      <c r="O31" s="763"/>
      <c r="P31" s="764"/>
    </row>
    <row r="32" spans="2:16" ht="15.75" customHeight="1">
      <c r="B32" s="765">
        <v>30</v>
      </c>
      <c r="C32" s="766"/>
      <c r="D32" s="766"/>
      <c r="E32" s="766"/>
      <c r="F32" s="766"/>
      <c r="G32" s="766"/>
      <c r="H32" s="766"/>
      <c r="I32" s="766"/>
      <c r="J32" s="766"/>
      <c r="K32" s="766"/>
      <c r="L32" s="766"/>
      <c r="M32" s="766"/>
      <c r="N32" s="766"/>
      <c r="O32" s="766"/>
      <c r="P32" s="767"/>
    </row>
  </sheetData>
  <mergeCells count="1">
    <mergeCell ref="B2:P2"/>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H13"/>
  <sheetViews>
    <sheetView topLeftCell="F3" workbookViewId="0">
      <selection activeCell="I6" sqref="I6"/>
    </sheetView>
  </sheetViews>
  <sheetFormatPr defaultColWidth="14.42578125" defaultRowHeight="15" customHeight="1"/>
  <cols>
    <col min="1" max="1" width="2" customWidth="1"/>
    <col min="2" max="2" width="35" customWidth="1"/>
    <col min="3" max="3" width="5.5703125" customWidth="1"/>
    <col min="4" max="4" width="1.140625" customWidth="1"/>
    <col min="5" max="5" width="41.85546875" customWidth="1"/>
    <col min="6" max="6" width="7.85546875" customWidth="1"/>
    <col min="7" max="7" width="1.85546875" customWidth="1"/>
    <col min="8" max="8" width="72.140625" customWidth="1"/>
    <col min="9" max="26" width="8.85546875" customWidth="1"/>
  </cols>
  <sheetData>
    <row r="2" spans="2:8" ht="25.5" customHeight="1">
      <c r="B2" s="1094" t="s">
        <v>84</v>
      </c>
      <c r="C2" s="1091"/>
      <c r="D2" s="1"/>
      <c r="E2" s="126" t="s">
        <v>85</v>
      </c>
      <c r="F2" s="127" t="s">
        <v>29</v>
      </c>
      <c r="G2" s="1"/>
      <c r="H2" s="778" t="s">
        <v>582</v>
      </c>
    </row>
    <row r="3" spans="2:8" ht="17.25" customHeight="1">
      <c r="B3" s="128">
        <v>1</v>
      </c>
      <c r="C3" s="128">
        <v>2</v>
      </c>
      <c r="D3" s="1"/>
      <c r="E3" s="84" t="s">
        <v>86</v>
      </c>
      <c r="F3" s="1095">
        <v>0</v>
      </c>
      <c r="G3" s="1"/>
      <c r="H3" s="129"/>
    </row>
    <row r="4" spans="2:8" ht="42.75" customHeight="1">
      <c r="B4" s="1097" t="s">
        <v>87</v>
      </c>
      <c r="C4" s="1098"/>
      <c r="D4" s="130"/>
      <c r="E4" s="131" t="s">
        <v>88</v>
      </c>
      <c r="F4" s="1096"/>
      <c r="G4" s="1"/>
      <c r="H4" s="132"/>
    </row>
    <row r="5" spans="2:8" ht="19.5" customHeight="1">
      <c r="B5" s="133"/>
      <c r="C5" s="134"/>
      <c r="D5" s="1"/>
      <c r="E5" s="135" t="s">
        <v>89</v>
      </c>
      <c r="F5" s="1099">
        <v>1</v>
      </c>
      <c r="G5" s="1"/>
      <c r="H5" s="132"/>
    </row>
    <row r="6" spans="2:8" ht="42" customHeight="1">
      <c r="B6" s="136" t="s">
        <v>90</v>
      </c>
      <c r="C6" s="137">
        <v>2024</v>
      </c>
      <c r="D6" s="1"/>
      <c r="E6" s="131" t="s">
        <v>91</v>
      </c>
      <c r="F6" s="1096"/>
      <c r="G6" s="1"/>
      <c r="H6" s="132"/>
    </row>
    <row r="7" spans="2:8" ht="27.75" customHeight="1">
      <c r="B7" s="136" t="s">
        <v>92</v>
      </c>
      <c r="C7" s="139">
        <v>1985</v>
      </c>
      <c r="D7" s="1"/>
      <c r="E7" s="140" t="s">
        <v>93</v>
      </c>
      <c r="F7" s="1100">
        <v>3</v>
      </c>
      <c r="G7" s="1"/>
      <c r="H7" s="141"/>
    </row>
    <row r="8" spans="2:8" ht="69.75" customHeight="1">
      <c r="B8" s="142" t="s">
        <v>94</v>
      </c>
      <c r="C8" s="872" t="s">
        <v>701</v>
      </c>
      <c r="D8" s="1"/>
      <c r="E8" s="143" t="s">
        <v>95</v>
      </c>
      <c r="F8" s="1096"/>
      <c r="G8" s="1"/>
      <c r="H8" s="144"/>
    </row>
    <row r="9" spans="2:8" ht="25.35" customHeight="1">
      <c r="B9" s="136" t="s">
        <v>96</v>
      </c>
      <c r="C9" s="145">
        <f>C6-C7</f>
        <v>39</v>
      </c>
      <c r="D9" s="1"/>
      <c r="E9" s="138"/>
      <c r="F9" s="138"/>
      <c r="G9" s="138"/>
      <c r="H9" s="138"/>
    </row>
    <row r="10" spans="2:8" ht="8.25" customHeight="1">
      <c r="B10" s="146"/>
      <c r="C10" s="147"/>
      <c r="D10" s="1"/>
      <c r="E10" s="138"/>
      <c r="F10" s="138"/>
      <c r="G10" s="138"/>
      <c r="H10" s="138"/>
    </row>
    <row r="11" spans="2:8" ht="24" customHeight="1">
      <c r="B11" s="148" t="s">
        <v>97</v>
      </c>
      <c r="C11" s="149">
        <f>IF(C8="YES", 3,IF(C9&lt;6,1,0))</f>
        <v>3</v>
      </c>
      <c r="D11" s="138"/>
      <c r="E11" s="121"/>
      <c r="F11" s="121"/>
      <c r="G11" s="138"/>
      <c r="H11" s="138"/>
    </row>
    <row r="12" spans="2:8" ht="8.25" customHeight="1">
      <c r="B12" s="150"/>
      <c r="C12" s="16"/>
      <c r="D12" s="138"/>
      <c r="E12" s="121"/>
      <c r="F12" s="121"/>
      <c r="G12" s="138"/>
      <c r="H12" s="138"/>
    </row>
    <row r="13" spans="2:8" ht="24" customHeight="1">
      <c r="B13" s="151" t="s">
        <v>98</v>
      </c>
      <c r="C13" s="152">
        <f>C11</f>
        <v>3</v>
      </c>
      <c r="D13" s="138"/>
      <c r="E13" s="138"/>
      <c r="F13" s="138"/>
      <c r="G13" s="138"/>
      <c r="H13" s="138"/>
    </row>
  </sheetData>
  <mergeCells count="5">
    <mergeCell ref="B2:C2"/>
    <mergeCell ref="F3:F4"/>
    <mergeCell ref="B4:C4"/>
    <mergeCell ref="F5:F6"/>
    <mergeCell ref="F7:F8"/>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H23"/>
  <sheetViews>
    <sheetView topLeftCell="A14" workbookViewId="0">
      <selection activeCell="J7" sqref="J7"/>
    </sheetView>
  </sheetViews>
  <sheetFormatPr defaultColWidth="14.42578125" defaultRowHeight="15" customHeight="1"/>
  <cols>
    <col min="1" max="1" width="3.42578125" customWidth="1"/>
    <col min="2" max="2" width="7.42578125" customWidth="1"/>
    <col min="3" max="3" width="8.42578125" customWidth="1"/>
    <col min="4" max="4" width="70" customWidth="1"/>
    <col min="5" max="5" width="4.85546875" customWidth="1"/>
    <col min="6" max="6" width="8.85546875" customWidth="1"/>
    <col min="7" max="7" width="4.140625" customWidth="1"/>
    <col min="8" max="8" width="69.85546875" customWidth="1"/>
    <col min="9" max="27" width="8.85546875" customWidth="1"/>
  </cols>
  <sheetData>
    <row r="2" spans="2:8" ht="21.75" thickBot="1">
      <c r="B2" s="1117" t="s">
        <v>99</v>
      </c>
      <c r="C2" s="1118"/>
      <c r="D2" s="1118"/>
      <c r="E2" s="1118"/>
      <c r="F2" s="1119"/>
      <c r="G2" s="154"/>
      <c r="H2" s="955" t="s">
        <v>582</v>
      </c>
    </row>
    <row r="3" spans="2:8" ht="39" customHeight="1">
      <c r="B3" s="1113" t="s">
        <v>100</v>
      </c>
      <c r="C3" s="944">
        <v>1</v>
      </c>
      <c r="D3" s="945">
        <v>2</v>
      </c>
      <c r="E3" s="946">
        <v>3</v>
      </c>
      <c r="F3" s="1120" t="s">
        <v>858</v>
      </c>
      <c r="G3" s="155"/>
      <c r="H3" s="1101"/>
    </row>
    <row r="4" spans="2:8" ht="15.75" thickBot="1">
      <c r="B4" s="1114"/>
      <c r="C4" s="1115" t="s">
        <v>102</v>
      </c>
      <c r="D4" s="1116"/>
      <c r="E4" s="1116"/>
      <c r="F4" s="1121"/>
      <c r="G4" s="155"/>
      <c r="H4" s="1063"/>
    </row>
    <row r="5" spans="2:8" ht="15.75" thickBot="1">
      <c r="B5" s="1122" t="s">
        <v>103</v>
      </c>
      <c r="C5" s="1123"/>
      <c r="D5" s="1123"/>
      <c r="E5" s="1123"/>
      <c r="F5" s="1124"/>
      <c r="G5" s="156"/>
      <c r="H5" s="1063"/>
    </row>
    <row r="6" spans="2:8" ht="45.75" customHeight="1" thickBot="1">
      <c r="B6" s="947">
        <v>1</v>
      </c>
      <c r="C6" s="1102" t="s">
        <v>39</v>
      </c>
      <c r="D6" s="933" t="s">
        <v>104</v>
      </c>
      <c r="E6" s="934"/>
      <c r="F6" s="1125">
        <f>TC!C11-2</f>
        <v>6</v>
      </c>
      <c r="G6" s="156"/>
      <c r="H6" s="1063"/>
    </row>
    <row r="7" spans="2:8" ht="31.35" customHeight="1" thickTop="1" thickBot="1">
      <c r="B7" s="948">
        <v>2</v>
      </c>
      <c r="C7" s="1103"/>
      <c r="D7" s="949" t="s">
        <v>105</v>
      </c>
      <c r="E7" s="931"/>
      <c r="F7" s="1125"/>
      <c r="G7" s="156"/>
      <c r="H7" s="1063"/>
    </row>
    <row r="8" spans="2:8" ht="15" customHeight="1" thickBot="1">
      <c r="B8" s="948">
        <v>3</v>
      </c>
      <c r="C8" s="1103"/>
      <c r="D8" s="158" t="s">
        <v>106</v>
      </c>
      <c r="E8" s="932"/>
      <c r="F8" s="1125"/>
      <c r="G8" s="159">
        <f>IF(SUM(E6:E10)=0,0,IF(AND(E6=1,E8=1),0,IF(AND(E6=1,E9=1),1,IF(AND(E6=1,E10=1),4,IF(AND(E7=1,E8=1),0,IF(AND(E7=1,E9=1),2,(IF(AND(E7=1,E10=1),6))))))))</f>
        <v>0</v>
      </c>
      <c r="H8" s="1063"/>
    </row>
    <row r="9" spans="2:8" ht="15" customHeight="1" thickBot="1">
      <c r="B9" s="948">
        <v>4</v>
      </c>
      <c r="C9" s="1103"/>
      <c r="D9" s="158" t="s">
        <v>107</v>
      </c>
      <c r="E9" s="932"/>
      <c r="F9" s="1125"/>
      <c r="G9" s="156"/>
      <c r="H9" s="1063"/>
    </row>
    <row r="10" spans="2:8" ht="15" customHeight="1" thickBot="1">
      <c r="B10" s="950">
        <v>5</v>
      </c>
      <c r="C10" s="1103"/>
      <c r="D10" s="935" t="s">
        <v>108</v>
      </c>
      <c r="E10" s="936"/>
      <c r="F10" s="1125"/>
      <c r="G10" s="156"/>
      <c r="H10" s="1063"/>
    </row>
    <row r="11" spans="2:8" ht="15.75" thickBot="1">
      <c r="B11" s="1126" t="s">
        <v>109</v>
      </c>
      <c r="C11" s="1127"/>
      <c r="D11" s="1127"/>
      <c r="E11" s="1127"/>
      <c r="F11" s="1128"/>
      <c r="G11" s="159">
        <f>IF(SUM(E12:E16)=0,0,IF(AND(E12=1,E14=1),6,IF(AND(E12=1,E15=1),8,IF(AND(E12=1,E16=1),12,IF(AND(E13=1,E14=1),8,IF(AND(E13=1,E15=1),10,(IF(AND(E13=1,E16=1),14))))))))</f>
        <v>0</v>
      </c>
      <c r="H11" s="1063"/>
    </row>
    <row r="12" spans="2:8" ht="46.5" customHeight="1" thickBot="1">
      <c r="B12" s="947">
        <v>6</v>
      </c>
      <c r="C12" s="1104" t="s">
        <v>41</v>
      </c>
      <c r="D12" s="933" t="s">
        <v>110</v>
      </c>
      <c r="E12" s="937"/>
      <c r="F12" s="1125">
        <f>TC!C12-2</f>
        <v>14</v>
      </c>
      <c r="G12" s="156"/>
      <c r="H12" s="1063"/>
    </row>
    <row r="13" spans="2:8" ht="31.35" customHeight="1" thickBot="1">
      <c r="B13" s="948">
        <v>7</v>
      </c>
      <c r="C13" s="1105"/>
      <c r="D13" s="949" t="s">
        <v>111</v>
      </c>
      <c r="E13" s="932"/>
      <c r="F13" s="1125"/>
      <c r="G13" s="159">
        <f>IF(SUM(E18:E19)=0,0,IF(E18=1,14,16))</f>
        <v>0</v>
      </c>
      <c r="H13" s="1063"/>
    </row>
    <row r="14" spans="2:8" ht="15" customHeight="1" thickBot="1">
      <c r="B14" s="948">
        <v>8</v>
      </c>
      <c r="C14" s="1105"/>
      <c r="D14" s="158" t="s">
        <v>112</v>
      </c>
      <c r="E14" s="932"/>
      <c r="F14" s="1125"/>
      <c r="G14" s="156"/>
      <c r="H14" s="1063"/>
    </row>
    <row r="15" spans="2:8" ht="15" customHeight="1" thickBot="1">
      <c r="B15" s="950">
        <v>9</v>
      </c>
      <c r="C15" s="1105"/>
      <c r="D15" s="158" t="s">
        <v>113</v>
      </c>
      <c r="E15" s="932"/>
      <c r="F15" s="1125"/>
      <c r="G15" s="156"/>
      <c r="H15" s="1063"/>
    </row>
    <row r="16" spans="2:8" ht="15.75" thickBot="1">
      <c r="B16" s="950">
        <v>10</v>
      </c>
      <c r="C16" s="1105"/>
      <c r="D16" s="938" t="s">
        <v>114</v>
      </c>
      <c r="E16" s="939"/>
      <c r="F16" s="1125"/>
      <c r="G16" s="161"/>
      <c r="H16" s="1063"/>
    </row>
    <row r="17" spans="2:8" ht="15.75" thickBot="1">
      <c r="B17" s="1126" t="s">
        <v>115</v>
      </c>
      <c r="C17" s="1127"/>
      <c r="D17" s="1127"/>
      <c r="E17" s="1127"/>
      <c r="F17" s="1128"/>
      <c r="G17" s="161"/>
      <c r="H17" s="1064"/>
    </row>
    <row r="18" spans="2:8" ht="15" customHeight="1" thickBot="1">
      <c r="B18" s="947">
        <v>11</v>
      </c>
      <c r="C18" s="1106" t="s">
        <v>116</v>
      </c>
      <c r="D18" s="162" t="s">
        <v>117</v>
      </c>
      <c r="E18" s="940"/>
      <c r="F18" s="1129">
        <f>TC!C12</f>
        <v>16</v>
      </c>
      <c r="G18" s="155"/>
      <c r="H18" s="163"/>
    </row>
    <row r="19" spans="2:8" ht="15" customHeight="1" thickBot="1">
      <c r="B19" s="951">
        <v>12</v>
      </c>
      <c r="C19" s="1107"/>
      <c r="D19" s="952" t="s">
        <v>118</v>
      </c>
      <c r="E19" s="953"/>
      <c r="F19" s="1130"/>
      <c r="G19" s="153"/>
      <c r="H19" s="1"/>
    </row>
    <row r="20" spans="2:8" ht="6.75" customHeight="1" thickBot="1">
      <c r="B20" s="943"/>
      <c r="C20" s="943"/>
      <c r="D20" s="811"/>
      <c r="E20" s="866"/>
      <c r="F20" s="866"/>
      <c r="G20" s="153"/>
      <c r="H20" s="1"/>
    </row>
    <row r="21" spans="2:8" ht="24.75" customHeight="1" thickBot="1">
      <c r="B21" s="1108" t="s">
        <v>119</v>
      </c>
      <c r="C21" s="1109"/>
      <c r="D21" s="1109"/>
      <c r="E21" s="941">
        <f>MAX(G8,G11,G13)</f>
        <v>0</v>
      </c>
      <c r="F21" s="942"/>
      <c r="G21" s="153"/>
    </row>
    <row r="22" spans="2:8" ht="6" customHeight="1" thickBot="1">
      <c r="B22" s="165"/>
      <c r="C22" s="165"/>
      <c r="D22" s="165"/>
      <c r="E22" s="10"/>
      <c r="F22" s="929"/>
      <c r="G22" s="153"/>
    </row>
    <row r="23" spans="2:8" ht="24.75" customHeight="1">
      <c r="B23" s="1110" t="s">
        <v>120</v>
      </c>
      <c r="C23" s="1111"/>
      <c r="D23" s="1112"/>
      <c r="E23" s="166">
        <f>E21</f>
        <v>0</v>
      </c>
      <c r="F23" s="930"/>
      <c r="G23" s="153"/>
    </row>
  </sheetData>
  <mergeCells count="16">
    <mergeCell ref="B23:D23"/>
    <mergeCell ref="B3:B4"/>
    <mergeCell ref="C4:E4"/>
    <mergeCell ref="B2:F2"/>
    <mergeCell ref="F3:F4"/>
    <mergeCell ref="B5:F5"/>
    <mergeCell ref="F6:F10"/>
    <mergeCell ref="B11:F11"/>
    <mergeCell ref="F12:F16"/>
    <mergeCell ref="B17:F17"/>
    <mergeCell ref="F18:F19"/>
    <mergeCell ref="H3:H17"/>
    <mergeCell ref="C6:C10"/>
    <mergeCell ref="C12:C16"/>
    <mergeCell ref="C18:C19"/>
    <mergeCell ref="B21:D2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L17"/>
  <sheetViews>
    <sheetView workbookViewId="0">
      <selection activeCell="L19" sqref="L19"/>
    </sheetView>
  </sheetViews>
  <sheetFormatPr defaultColWidth="14.42578125" defaultRowHeight="15" customHeight="1"/>
  <cols>
    <col min="1" max="1" width="3.140625" customWidth="1"/>
    <col min="2" max="2" width="7.85546875" customWidth="1"/>
    <col min="3" max="3" width="35.140625" customWidth="1"/>
    <col min="4" max="4" width="4.140625" customWidth="1"/>
    <col min="5" max="5" width="35.140625" customWidth="1"/>
    <col min="6" max="6" width="3.85546875" customWidth="1"/>
    <col min="7" max="7" width="32.85546875" customWidth="1"/>
    <col min="8" max="8" width="3.85546875" customWidth="1"/>
    <col min="9" max="9" width="26" customWidth="1"/>
    <col min="10" max="10" width="3.85546875" customWidth="1"/>
    <col min="11" max="11" width="2.140625" customWidth="1"/>
    <col min="12" max="12" width="70.42578125" customWidth="1"/>
    <col min="13" max="16" width="9.140625" customWidth="1"/>
    <col min="17" max="26" width="8.85546875" customWidth="1"/>
  </cols>
  <sheetData>
    <row r="2" spans="2:12" ht="21">
      <c r="B2" s="1134" t="s">
        <v>43</v>
      </c>
      <c r="C2" s="1018"/>
      <c r="D2" s="1018"/>
      <c r="E2" s="1018"/>
      <c r="F2" s="1018"/>
      <c r="G2" s="1018"/>
      <c r="H2" s="1018"/>
      <c r="I2" s="1018"/>
      <c r="J2" s="1023"/>
      <c r="K2" s="954"/>
      <c r="L2" s="955" t="s">
        <v>582</v>
      </c>
    </row>
    <row r="3" spans="2:12">
      <c r="B3" s="167" t="s">
        <v>121</v>
      </c>
      <c r="C3" s="168">
        <v>1</v>
      </c>
      <c r="D3" s="169">
        <v>2</v>
      </c>
      <c r="E3" s="169">
        <v>3</v>
      </c>
      <c r="F3" s="169">
        <v>4</v>
      </c>
      <c r="G3" s="169">
        <v>5</v>
      </c>
      <c r="H3" s="170">
        <v>6</v>
      </c>
      <c r="I3" s="169">
        <v>5</v>
      </c>
      <c r="J3" s="170">
        <v>6</v>
      </c>
      <c r="K3" s="171"/>
      <c r="L3" s="172"/>
    </row>
    <row r="4" spans="2:12" ht="33.75" customHeight="1">
      <c r="B4" s="173"/>
      <c r="C4" s="174" t="s">
        <v>122</v>
      </c>
      <c r="D4" s="175">
        <f>TC!C14</f>
        <v>0</v>
      </c>
      <c r="E4" s="176" t="s">
        <v>123</v>
      </c>
      <c r="F4" s="175">
        <f>TC!C15</f>
        <v>1</v>
      </c>
      <c r="G4" s="176" t="s">
        <v>124</v>
      </c>
      <c r="H4" s="177">
        <f>TC!C16</f>
        <v>4</v>
      </c>
      <c r="I4" s="176" t="s">
        <v>125</v>
      </c>
      <c r="J4" s="177">
        <f>TC!C17</f>
        <v>8</v>
      </c>
      <c r="K4" s="178"/>
      <c r="L4" s="179"/>
    </row>
    <row r="5" spans="2:12" ht="29.25" customHeight="1">
      <c r="B5" s="180" t="s">
        <v>126</v>
      </c>
      <c r="C5" s="1135" t="s">
        <v>127</v>
      </c>
      <c r="D5" s="1082"/>
      <c r="E5" s="1136" t="s">
        <v>128</v>
      </c>
      <c r="F5" s="1086"/>
      <c r="G5" s="1086"/>
      <c r="H5" s="1086"/>
      <c r="I5" s="1086"/>
      <c r="J5" s="1087"/>
      <c r="K5" s="178"/>
      <c r="L5" s="179"/>
    </row>
    <row r="6" spans="2:12" ht="22.5" customHeight="1">
      <c r="B6" s="181">
        <v>1</v>
      </c>
      <c r="C6" s="182" t="s">
        <v>921</v>
      </c>
      <c r="D6" s="183"/>
      <c r="E6" s="182" t="s">
        <v>922</v>
      </c>
      <c r="F6" s="183"/>
      <c r="G6" s="184" t="s">
        <v>923</v>
      </c>
      <c r="H6" s="185"/>
      <c r="I6" s="184" t="s">
        <v>924</v>
      </c>
      <c r="J6" s="185">
        <v>1</v>
      </c>
      <c r="K6" s="186"/>
      <c r="L6" s="179"/>
    </row>
    <row r="7" spans="2:12" ht="51">
      <c r="B7" s="181">
        <v>2</v>
      </c>
      <c r="C7" s="187" t="s">
        <v>925</v>
      </c>
      <c r="D7" s="188"/>
      <c r="E7" s="184" t="s">
        <v>932</v>
      </c>
      <c r="F7" s="188"/>
      <c r="G7" s="184" t="s">
        <v>928</v>
      </c>
      <c r="H7" s="189">
        <v>1</v>
      </c>
      <c r="I7" s="190" t="s">
        <v>930</v>
      </c>
      <c r="J7" s="189"/>
      <c r="K7" s="186"/>
      <c r="L7" s="179"/>
    </row>
    <row r="8" spans="2:12" ht="45.6" customHeight="1">
      <c r="B8" s="181">
        <v>3</v>
      </c>
      <c r="C8" s="191" t="s">
        <v>926</v>
      </c>
      <c r="D8" s="192"/>
      <c r="E8" s="191" t="s">
        <v>927</v>
      </c>
      <c r="F8" s="193"/>
      <c r="G8" s="191" t="s">
        <v>929</v>
      </c>
      <c r="H8" s="194"/>
      <c r="I8" s="195" t="s">
        <v>931</v>
      </c>
      <c r="J8" s="194">
        <v>1</v>
      </c>
      <c r="K8" s="186"/>
      <c r="L8" s="179"/>
    </row>
    <row r="9" spans="2:12">
      <c r="B9" s="196"/>
      <c r="C9" s="197" t="s">
        <v>129</v>
      </c>
      <c r="D9" s="197">
        <f>SUM(D6:D8)</f>
        <v>0</v>
      </c>
      <c r="E9" s="198" t="s">
        <v>129</v>
      </c>
      <c r="F9" s="198">
        <f>SUM(F6:F8)</f>
        <v>0</v>
      </c>
      <c r="G9" s="198" t="s">
        <v>129</v>
      </c>
      <c r="H9" s="199">
        <f>SUM(H6:H8)</f>
        <v>1</v>
      </c>
      <c r="I9" s="198" t="s">
        <v>129</v>
      </c>
      <c r="J9" s="199">
        <f>SUM(J6:J8)</f>
        <v>2</v>
      </c>
      <c r="K9" s="200"/>
      <c r="L9" s="201"/>
    </row>
    <row r="10" spans="2:12" ht="6" customHeight="1">
      <c r="B10" s="1"/>
      <c r="C10" s="24"/>
      <c r="D10" s="32"/>
      <c r="E10" s="202"/>
      <c r="F10" s="203"/>
      <c r="G10" s="203"/>
      <c r="H10" s="203"/>
      <c r="I10" s="203"/>
      <c r="J10" s="203"/>
      <c r="K10" s="203"/>
      <c r="L10" s="204"/>
    </row>
    <row r="11" spans="2:12" ht="20.25" customHeight="1">
      <c r="B11" s="1137" t="s">
        <v>119</v>
      </c>
      <c r="C11" s="1111"/>
      <c r="D11" s="1111"/>
      <c r="E11" s="1111"/>
      <c r="F11" s="1111"/>
      <c r="G11" s="1111"/>
      <c r="H11" s="1138"/>
      <c r="I11" s="205">
        <f>IF(D9=3,0,F9*F4/3+H9*H4/3+J9*J4/3)</f>
        <v>6.6666666666666661</v>
      </c>
      <c r="J11" s="206"/>
      <c r="K11" s="204"/>
      <c r="L11" s="1"/>
    </row>
    <row r="12" spans="2:12" ht="3.75" customHeight="1">
      <c r="B12" s="1"/>
      <c r="C12" s="33"/>
      <c r="D12" s="125"/>
      <c r="E12" s="33"/>
      <c r="F12" s="207"/>
      <c r="G12" s="33"/>
      <c r="H12" s="208"/>
      <c r="I12" s="33"/>
      <c r="J12" s="208"/>
      <c r="K12" s="208"/>
      <c r="L12" s="204"/>
    </row>
    <row r="13" spans="2:12" ht="22.5" customHeight="1">
      <c r="B13" s="1139" t="s">
        <v>130</v>
      </c>
      <c r="C13" s="1111"/>
      <c r="D13" s="1111"/>
      <c r="E13" s="1111"/>
      <c r="F13" s="1111"/>
      <c r="G13" s="1111"/>
      <c r="H13" s="1140"/>
      <c r="I13" s="209">
        <f>I11</f>
        <v>6.6666666666666661</v>
      </c>
      <c r="J13" s="210"/>
      <c r="K13" s="204"/>
      <c r="L13" s="1"/>
    </row>
    <row r="14" spans="2:12" ht="9" customHeight="1">
      <c r="D14" s="16"/>
      <c r="L14" s="204"/>
    </row>
    <row r="15" spans="2:12">
      <c r="B15" s="1131" t="str">
        <f>IF(D6+F6+H6+J6&gt;1,"Warning! Too many options selected in Row 1"," ")</f>
        <v xml:space="preserve"> </v>
      </c>
      <c r="C15" s="1073"/>
      <c r="D15" s="1073"/>
      <c r="E15" s="1073"/>
      <c r="F15" s="1073"/>
      <c r="G15" s="1073"/>
      <c r="H15" s="1073"/>
      <c r="I15" s="164"/>
      <c r="J15" s="211"/>
      <c r="K15" s="1"/>
      <c r="L15" s="1"/>
    </row>
    <row r="16" spans="2:12">
      <c r="B16" s="1132" t="str">
        <f>+IF(D7+F7+H7+J7&gt;1,"WARNING! too many options selected in Row 2", "" )</f>
        <v/>
      </c>
      <c r="C16" s="1018"/>
      <c r="D16" s="1018"/>
      <c r="E16" s="1018"/>
      <c r="F16" s="1018"/>
      <c r="G16" s="1018"/>
      <c r="H16" s="1018"/>
      <c r="I16" s="1"/>
      <c r="J16" s="212"/>
      <c r="K16" s="1"/>
      <c r="L16" s="1"/>
    </row>
    <row r="17" spans="2:8">
      <c r="B17" s="1133" t="str">
        <f>+IF(D8+F8+H8+J8&gt;1,"WARNING! too many options selected in Row 3", "" )</f>
        <v/>
      </c>
      <c r="C17" s="1086"/>
      <c r="D17" s="1086"/>
      <c r="E17" s="1086"/>
      <c r="F17" s="1086"/>
      <c r="G17" s="1086"/>
      <c r="H17" s="1086"/>
    </row>
  </sheetData>
  <mergeCells count="8">
    <mergeCell ref="B15:H15"/>
    <mergeCell ref="B16:H16"/>
    <mergeCell ref="B17:H17"/>
    <mergeCell ref="B2:J2"/>
    <mergeCell ref="C5:D5"/>
    <mergeCell ref="E5:J5"/>
    <mergeCell ref="B11:H11"/>
    <mergeCell ref="B13:H13"/>
  </mergeCell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J32"/>
  <sheetViews>
    <sheetView topLeftCell="A8" zoomScale="68" zoomScaleNormal="68" workbookViewId="0">
      <selection activeCell="K6" sqref="K6"/>
    </sheetView>
  </sheetViews>
  <sheetFormatPr defaultColWidth="14.42578125" defaultRowHeight="15" customHeight="1"/>
  <cols>
    <col min="1" max="1" width="3.140625" customWidth="1"/>
    <col min="2" max="2" width="7.85546875" customWidth="1"/>
    <col min="3" max="3" width="33.42578125" customWidth="1"/>
    <col min="4" max="4" width="4.85546875" customWidth="1"/>
    <col min="5" max="5" width="36" customWidth="1"/>
    <col min="6" max="6" width="4.5703125" customWidth="1"/>
    <col min="7" max="7" width="37.85546875" customWidth="1"/>
    <col min="8" max="8" width="4.85546875" customWidth="1"/>
    <col min="9" max="9" width="1.5703125" customWidth="1"/>
    <col min="10" max="10" width="69.140625" customWidth="1"/>
    <col min="11" max="26" width="8.85546875" customWidth="1"/>
  </cols>
  <sheetData>
    <row r="2" spans="2:10" ht="21.75" thickBot="1">
      <c r="B2" s="1150" t="s">
        <v>893</v>
      </c>
      <c r="C2" s="1111"/>
      <c r="D2" s="1111"/>
      <c r="E2" s="1111"/>
      <c r="F2" s="1111"/>
      <c r="G2" s="1111"/>
      <c r="H2" s="1111"/>
      <c r="I2" s="213"/>
      <c r="J2" s="778" t="s">
        <v>582</v>
      </c>
    </row>
    <row r="3" spans="2:10">
      <c r="B3" s="167" t="s">
        <v>121</v>
      </c>
      <c r="C3" s="168">
        <v>1</v>
      </c>
      <c r="D3" s="169">
        <v>2</v>
      </c>
      <c r="E3" s="169">
        <v>3</v>
      </c>
      <c r="F3" s="169">
        <v>4</v>
      </c>
      <c r="G3" s="169">
        <v>5</v>
      </c>
      <c r="H3" s="170">
        <v>6</v>
      </c>
      <c r="I3" s="214"/>
      <c r="J3" s="172"/>
    </row>
    <row r="4" spans="2:10" ht="33.75" customHeight="1">
      <c r="B4" s="173"/>
      <c r="C4" s="174" t="s">
        <v>122</v>
      </c>
      <c r="D4" s="175">
        <f>TC!C19</f>
        <v>0</v>
      </c>
      <c r="E4" s="176" t="s">
        <v>123</v>
      </c>
      <c r="F4" s="175">
        <f>TC!C20</f>
        <v>4</v>
      </c>
      <c r="G4" s="176" t="s">
        <v>124</v>
      </c>
      <c r="H4" s="177">
        <f>TC!C21</f>
        <v>7</v>
      </c>
      <c r="I4" s="215"/>
      <c r="J4" s="813"/>
    </row>
    <row r="5" spans="2:10" ht="69.599999999999994" customHeight="1">
      <c r="B5" s="216"/>
      <c r="C5" s="1151" t="s">
        <v>860</v>
      </c>
      <c r="D5" s="1152"/>
      <c r="E5" s="1153" t="s">
        <v>861</v>
      </c>
      <c r="F5" s="1154"/>
      <c r="G5" s="1153" t="s">
        <v>862</v>
      </c>
      <c r="H5" s="1155"/>
      <c r="I5" s="217"/>
      <c r="J5" s="813"/>
    </row>
    <row r="6" spans="2:10" ht="22.35" customHeight="1">
      <c r="B6" s="180" t="s">
        <v>126</v>
      </c>
      <c r="C6" s="1135" t="s">
        <v>127</v>
      </c>
      <c r="D6" s="1082"/>
      <c r="E6" s="1156" t="s">
        <v>128</v>
      </c>
      <c r="F6" s="1081"/>
      <c r="G6" s="1081"/>
      <c r="H6" s="1098"/>
      <c r="I6" s="215"/>
      <c r="J6" s="813"/>
    </row>
    <row r="7" spans="2:10" ht="21.6" customHeight="1">
      <c r="B7" s="1157" t="s">
        <v>561</v>
      </c>
      <c r="C7" s="1158"/>
      <c r="D7" s="1158"/>
      <c r="E7" s="1158"/>
      <c r="F7" s="1158"/>
      <c r="G7" s="1158"/>
      <c r="H7" s="1159"/>
      <c r="I7" s="812"/>
      <c r="J7" s="813"/>
    </row>
    <row r="8" spans="2:10" ht="30" customHeight="1" thickBot="1">
      <c r="B8" s="779">
        <v>1</v>
      </c>
      <c r="C8" s="780" t="s">
        <v>562</v>
      </c>
      <c r="D8" s="781"/>
      <c r="E8" s="782" t="s">
        <v>563</v>
      </c>
      <c r="F8" s="781"/>
      <c r="G8" s="782" t="s">
        <v>564</v>
      </c>
      <c r="H8" s="783">
        <v>1</v>
      </c>
      <c r="I8" s="218"/>
      <c r="J8" s="813"/>
    </row>
    <row r="9" spans="2:10" ht="38.25">
      <c r="B9" s="816">
        <v>2</v>
      </c>
      <c r="C9" s="782" t="s">
        <v>131</v>
      </c>
      <c r="D9" s="784"/>
      <c r="E9" s="782" t="s">
        <v>132</v>
      </c>
      <c r="F9" s="784"/>
      <c r="G9" s="782" t="s">
        <v>565</v>
      </c>
      <c r="H9" s="785">
        <v>1</v>
      </c>
      <c r="I9" s="218"/>
      <c r="J9" s="813"/>
    </row>
    <row r="10" spans="2:10" ht="21.6" customHeight="1">
      <c r="B10" s="1160" t="s">
        <v>566</v>
      </c>
      <c r="C10" s="1161"/>
      <c r="D10" s="1161"/>
      <c r="E10" s="1161"/>
      <c r="F10" s="1161"/>
      <c r="G10" s="1161"/>
      <c r="H10" s="1162"/>
      <c r="I10" s="815"/>
      <c r="J10" s="813"/>
    </row>
    <row r="11" spans="2:10" ht="27.6" customHeight="1" thickBot="1">
      <c r="B11" s="786">
        <v>3</v>
      </c>
      <c r="C11" s="780" t="s">
        <v>722</v>
      </c>
      <c r="D11" s="787">
        <v>1</v>
      </c>
      <c r="E11" s="782" t="s">
        <v>567</v>
      </c>
      <c r="F11" s="787"/>
      <c r="G11" s="782" t="s">
        <v>568</v>
      </c>
      <c r="H11" s="788"/>
      <c r="I11" s="218"/>
      <c r="J11" s="813"/>
    </row>
    <row r="12" spans="2:10" ht="38.25">
      <c r="B12" s="816">
        <v>4</v>
      </c>
      <c r="C12" s="782" t="s">
        <v>569</v>
      </c>
      <c r="D12" s="784">
        <v>1</v>
      </c>
      <c r="E12" s="782" t="s">
        <v>570</v>
      </c>
      <c r="F12" s="784"/>
      <c r="G12" s="782" t="s">
        <v>571</v>
      </c>
      <c r="H12" s="785"/>
      <c r="I12" s="221"/>
      <c r="J12" s="813"/>
    </row>
    <row r="13" spans="2:10" ht="22.35" customHeight="1">
      <c r="B13" s="1163" t="s">
        <v>859</v>
      </c>
      <c r="C13" s="1161"/>
      <c r="D13" s="1161"/>
      <c r="E13" s="1161"/>
      <c r="F13" s="1161"/>
      <c r="G13" s="1161"/>
      <c r="H13" s="1162"/>
      <c r="I13" s="202"/>
      <c r="J13" s="813"/>
    </row>
    <row r="14" spans="2:10" ht="30" customHeight="1" thickBot="1">
      <c r="B14" s="789">
        <v>5</v>
      </c>
      <c r="C14" s="790" t="s">
        <v>572</v>
      </c>
      <c r="D14" s="791"/>
      <c r="E14" s="792" t="s">
        <v>573</v>
      </c>
      <c r="F14" s="791">
        <v>1</v>
      </c>
      <c r="G14" s="792" t="s">
        <v>574</v>
      </c>
      <c r="H14" s="793"/>
      <c r="I14" s="222"/>
      <c r="J14" s="813"/>
    </row>
    <row r="15" spans="2:10" ht="38.25">
      <c r="B15" s="786">
        <v>6</v>
      </c>
      <c r="C15" s="794" t="s">
        <v>575</v>
      </c>
      <c r="D15" s="795"/>
      <c r="E15" s="794" t="s">
        <v>576</v>
      </c>
      <c r="F15" s="795">
        <v>1</v>
      </c>
      <c r="G15" s="794" t="s">
        <v>577</v>
      </c>
      <c r="H15" s="796"/>
      <c r="I15" s="223"/>
      <c r="J15" s="813"/>
    </row>
    <row r="16" spans="2:10" ht="22.35" customHeight="1">
      <c r="B16" s="1164" t="s">
        <v>578</v>
      </c>
      <c r="C16" s="1165"/>
      <c r="D16" s="1165"/>
      <c r="E16" s="1165"/>
      <c r="F16" s="1165"/>
      <c r="G16" s="1165"/>
      <c r="H16" s="1166"/>
      <c r="I16" s="225"/>
      <c r="J16" s="813"/>
    </row>
    <row r="17" spans="2:8" ht="30" customHeight="1" thickBot="1">
      <c r="B17" s="797">
        <v>7</v>
      </c>
      <c r="C17" s="798" t="s">
        <v>579</v>
      </c>
      <c r="D17" s="799"/>
      <c r="E17" s="794" t="s">
        <v>580</v>
      </c>
      <c r="F17" s="799"/>
      <c r="G17" s="794" t="s">
        <v>581</v>
      </c>
      <c r="H17" s="788">
        <v>1</v>
      </c>
    </row>
    <row r="18" spans="2:8" ht="38.25">
      <c r="B18" s="800">
        <v>8</v>
      </c>
      <c r="C18" s="801" t="s">
        <v>723</v>
      </c>
      <c r="D18" s="784"/>
      <c r="E18" s="802" t="s">
        <v>724</v>
      </c>
      <c r="F18" s="784"/>
      <c r="G18" s="803" t="s">
        <v>725</v>
      </c>
      <c r="H18" s="796">
        <v>1</v>
      </c>
    </row>
    <row r="19" spans="2:8" ht="17.45" customHeight="1" thickBot="1">
      <c r="B19" s="196"/>
      <c r="C19" s="197" t="s">
        <v>129</v>
      </c>
      <c r="D19" s="197">
        <f>D8+D9+D11+D12+D14+D15+D17+D18</f>
        <v>2</v>
      </c>
      <c r="E19" s="198" t="s">
        <v>129</v>
      </c>
      <c r="F19" s="197">
        <f>F8+F9+F11+F12+F14+F15+F17+F18</f>
        <v>2</v>
      </c>
      <c r="G19" s="198" t="s">
        <v>129</v>
      </c>
      <c r="H19" s="197">
        <f>H8+H9+H11+H12+H14+H15+H17+H18</f>
        <v>4</v>
      </c>
    </row>
    <row r="20" spans="2:8" ht="7.35" customHeight="1" thickBot="1">
      <c r="B20" s="1"/>
      <c r="C20" s="24"/>
      <c r="D20" s="32"/>
      <c r="E20" s="202"/>
      <c r="F20" s="202"/>
      <c r="G20" s="202"/>
      <c r="H20" s="202"/>
    </row>
    <row r="21" spans="2:8" ht="22.35" customHeight="1" thickBot="1">
      <c r="B21" s="1137" t="s">
        <v>119</v>
      </c>
      <c r="C21" s="1111"/>
      <c r="D21" s="1111"/>
      <c r="E21" s="1111"/>
      <c r="F21" s="1111"/>
      <c r="G21" s="205">
        <f>IF(D19=8,0,F19*F4/8+H19*H4/8)</f>
        <v>4.5</v>
      </c>
      <c r="H21" s="206"/>
    </row>
    <row r="22" spans="2:8" ht="8.4499999999999993" customHeight="1" thickBot="1">
      <c r="B22" s="1"/>
      <c r="C22" s="33"/>
      <c r="D22" s="125"/>
      <c r="E22" s="33"/>
      <c r="F22" s="224"/>
      <c r="G22" s="24"/>
      <c r="H22" s="223"/>
    </row>
    <row r="23" spans="2:8" ht="22.35" customHeight="1" thickBot="1">
      <c r="B23" s="1139" t="s">
        <v>130</v>
      </c>
      <c r="C23" s="1111"/>
      <c r="D23" s="1111"/>
      <c r="E23" s="1111"/>
      <c r="F23" s="1140"/>
      <c r="G23" s="209">
        <f>G21</f>
        <v>4.5</v>
      </c>
      <c r="H23" s="210"/>
    </row>
    <row r="24" spans="2:8" ht="8.1" customHeight="1" thickBot="1">
      <c r="B24" s="1"/>
      <c r="C24" s="1"/>
      <c r="D24" s="14"/>
      <c r="E24" s="1"/>
      <c r="F24" s="1"/>
      <c r="G24" s="1"/>
      <c r="H24" s="1"/>
    </row>
    <row r="25" spans="2:8" ht="15.75" customHeight="1">
      <c r="B25" s="1147" t="str">
        <f>IF(D8+F8+H8&gt;1,"WARNING! Too many options selected in Row 1"," ")</f>
        <v xml:space="preserve"> </v>
      </c>
      <c r="C25" s="1148"/>
      <c r="D25" s="1148"/>
      <c r="E25" s="1148"/>
      <c r="F25" s="1148"/>
      <c r="G25" s="1148"/>
      <c r="H25" s="1149"/>
    </row>
    <row r="26" spans="2:8" ht="15.75" customHeight="1">
      <c r="B26" s="1141" t="str">
        <f>IF(D9+F9+H9&gt;1,"WARNING! Too many options selected in Row 2"," ")</f>
        <v xml:space="preserve"> </v>
      </c>
      <c r="C26" s="1142"/>
      <c r="D26" s="1142"/>
      <c r="E26" s="1142"/>
      <c r="F26" s="1142"/>
      <c r="G26" s="1142"/>
      <c r="H26" s="1143"/>
    </row>
    <row r="27" spans="2:8" ht="15.75" customHeight="1">
      <c r="B27" s="1141" t="str">
        <f>IF(D11+F11+H11&gt;1,"WARNING! Too many options selected in Row 3"," ")</f>
        <v xml:space="preserve"> </v>
      </c>
      <c r="C27" s="1142"/>
      <c r="D27" s="1142"/>
      <c r="E27" s="1142"/>
      <c r="F27" s="1142"/>
      <c r="G27" s="1142"/>
      <c r="H27" s="1143"/>
    </row>
    <row r="28" spans="2:8" ht="15.75" customHeight="1">
      <c r="B28" s="1141" t="str">
        <f>IF(D12+F12+H12&gt;1,"WARNING! Too many options selected in Row 4"," ")</f>
        <v xml:space="preserve"> </v>
      </c>
      <c r="C28" s="1142"/>
      <c r="D28" s="1142"/>
      <c r="E28" s="1142"/>
      <c r="F28" s="1142"/>
      <c r="G28" s="1142"/>
      <c r="H28" s="1143"/>
    </row>
    <row r="29" spans="2:8" ht="15.75" customHeight="1">
      <c r="B29" s="1141" t="str">
        <f>IF(D14+F14+H14&gt;1,"WARNING! Too many options selected in Row 5"," ")</f>
        <v xml:space="preserve"> </v>
      </c>
      <c r="C29" s="1142"/>
      <c r="D29" s="1142"/>
      <c r="E29" s="1142"/>
      <c r="F29" s="1142"/>
      <c r="G29" s="1142"/>
      <c r="H29" s="1143"/>
    </row>
    <row r="30" spans="2:8" ht="15.75" customHeight="1">
      <c r="B30" s="1141" t="str">
        <f>IF(D15+F15+H15&gt;1,"WARNING! Too many options selected in Row 6"," ")</f>
        <v xml:space="preserve"> </v>
      </c>
      <c r="C30" s="1142"/>
      <c r="D30" s="1142"/>
      <c r="E30" s="1142"/>
      <c r="F30" s="1142"/>
      <c r="G30" s="1142"/>
      <c r="H30" s="1143"/>
    </row>
    <row r="31" spans="2:8" ht="15.75" customHeight="1">
      <c r="B31" s="1141" t="str">
        <f>IF(D17+F17+H17&gt;1,"WARNING! Too many options selected in Row 7"," ")</f>
        <v xml:space="preserve"> </v>
      </c>
      <c r="C31" s="1142"/>
      <c r="D31" s="1142"/>
      <c r="E31" s="1142"/>
      <c r="F31" s="1142"/>
      <c r="G31" s="1142"/>
      <c r="H31" s="1143"/>
    </row>
    <row r="32" spans="2:8" ht="15.75" customHeight="1" thickBot="1">
      <c r="B32" s="1144" t="str">
        <f>IF(D18+F18+H18&gt;1,"WARNING! Too many options selected in Row 8"," ")</f>
        <v xml:space="preserve"> </v>
      </c>
      <c r="C32" s="1145"/>
      <c r="D32" s="1145"/>
      <c r="E32" s="1145"/>
      <c r="F32" s="1145"/>
      <c r="G32" s="1145"/>
      <c r="H32" s="1146"/>
    </row>
  </sheetData>
  <mergeCells count="20">
    <mergeCell ref="B7:H7"/>
    <mergeCell ref="B10:H10"/>
    <mergeCell ref="B13:H13"/>
    <mergeCell ref="B16:H16"/>
    <mergeCell ref="B23:F23"/>
    <mergeCell ref="B2:H2"/>
    <mergeCell ref="C5:D5"/>
    <mergeCell ref="E5:F5"/>
    <mergeCell ref="G5:H5"/>
    <mergeCell ref="C6:D6"/>
    <mergeCell ref="E6:H6"/>
    <mergeCell ref="B29:H29"/>
    <mergeCell ref="B30:H30"/>
    <mergeCell ref="B31:H31"/>
    <mergeCell ref="B32:H32"/>
    <mergeCell ref="B21:F21"/>
    <mergeCell ref="B25:H25"/>
    <mergeCell ref="B26:H26"/>
    <mergeCell ref="B27:H27"/>
    <mergeCell ref="B28:H28"/>
  </mergeCell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O13"/>
  <sheetViews>
    <sheetView topLeftCell="A5" workbookViewId="0">
      <selection activeCell="H15" sqref="H15"/>
    </sheetView>
  </sheetViews>
  <sheetFormatPr defaultColWidth="14.42578125" defaultRowHeight="15" customHeight="1"/>
  <cols>
    <col min="1" max="1" width="1.85546875" customWidth="1"/>
    <col min="2" max="2" width="23.85546875" customWidth="1"/>
    <col min="3" max="3" width="11.85546875" customWidth="1"/>
    <col min="4" max="4" width="12.42578125" customWidth="1"/>
    <col min="5" max="5" width="13" customWidth="1"/>
    <col min="6" max="6" width="1.42578125" hidden="1" customWidth="1"/>
    <col min="7" max="7" width="3.85546875" customWidth="1"/>
    <col min="8" max="8" width="6.85546875" customWidth="1"/>
    <col min="9" max="9" width="3.140625" customWidth="1"/>
    <col min="10" max="14" width="8.85546875" customWidth="1"/>
    <col min="15" max="15" width="25.140625" customWidth="1"/>
    <col min="16" max="26" width="8.85546875" customWidth="1"/>
  </cols>
  <sheetData>
    <row r="2" spans="2:15" ht="21">
      <c r="B2" s="1169" t="s">
        <v>133</v>
      </c>
      <c r="C2" s="1018"/>
      <c r="D2" s="1018"/>
      <c r="E2" s="1018"/>
      <c r="F2" s="1018"/>
      <c r="G2" s="1018"/>
      <c r="H2" s="1018"/>
      <c r="J2" s="1170" t="s">
        <v>582</v>
      </c>
      <c r="K2" s="1171"/>
      <c r="L2" s="1171"/>
      <c r="M2" s="1171"/>
      <c r="N2" s="1171"/>
      <c r="O2" s="1172"/>
    </row>
    <row r="3" spans="2:15" ht="29.25" customHeight="1">
      <c r="B3" s="1173"/>
      <c r="C3" s="1045"/>
      <c r="D3" s="1174"/>
      <c r="E3" s="1177" t="s">
        <v>134</v>
      </c>
      <c r="F3" s="1090"/>
      <c r="G3" s="1090"/>
      <c r="H3" s="1091"/>
      <c r="J3" s="227"/>
      <c r="K3" s="228"/>
      <c r="L3" s="228"/>
      <c r="M3" s="228"/>
      <c r="N3" s="228"/>
      <c r="O3" s="229"/>
    </row>
    <row r="4" spans="2:15" ht="30">
      <c r="B4" s="230" t="s">
        <v>135</v>
      </c>
      <c r="C4" s="231">
        <v>1000</v>
      </c>
      <c r="D4" s="1175"/>
      <c r="E4" s="1178" t="s">
        <v>58</v>
      </c>
      <c r="F4" s="1047"/>
      <c r="G4" s="1048"/>
      <c r="H4" s="232">
        <f>TC!C26</f>
        <v>0</v>
      </c>
      <c r="I4" s="23"/>
      <c r="J4" s="233"/>
      <c r="K4" s="121"/>
      <c r="L4" s="121"/>
      <c r="M4" s="121"/>
      <c r="N4" s="121"/>
      <c r="O4" s="234"/>
    </row>
    <row r="5" spans="2:15" ht="30">
      <c r="B5" s="235" t="s">
        <v>136</v>
      </c>
      <c r="C5" s="236">
        <v>50000</v>
      </c>
      <c r="D5" s="1175"/>
      <c r="E5" s="1179" t="s">
        <v>137</v>
      </c>
      <c r="F5" s="1081"/>
      <c r="G5" s="1098"/>
      <c r="H5" s="237">
        <f>TC!C27</f>
        <v>1</v>
      </c>
      <c r="J5" s="233"/>
      <c r="K5" s="121"/>
      <c r="L5" s="121"/>
      <c r="M5" s="121"/>
      <c r="N5" s="121"/>
      <c r="O5" s="234"/>
    </row>
    <row r="6" spans="2:15" ht="30">
      <c r="B6" s="238" t="s">
        <v>138</v>
      </c>
      <c r="C6" s="239"/>
      <c r="D6" s="1175"/>
      <c r="E6" s="1179" t="s">
        <v>61</v>
      </c>
      <c r="F6" s="1081"/>
      <c r="G6" s="1098"/>
      <c r="H6" s="237">
        <f>TC!C28</f>
        <v>2</v>
      </c>
      <c r="J6" s="233"/>
      <c r="K6" s="121"/>
      <c r="L6" s="121"/>
      <c r="M6" s="121"/>
      <c r="N6" s="121"/>
      <c r="O6" s="234"/>
    </row>
    <row r="7" spans="2:15" ht="19.5" customHeight="1">
      <c r="B7" s="240" t="s">
        <v>139</v>
      </c>
      <c r="C7" s="241">
        <f>SUM(C4:C6)</f>
        <v>51000</v>
      </c>
      <c r="D7" s="1176"/>
      <c r="E7" s="1180" t="s">
        <v>62</v>
      </c>
      <c r="F7" s="1181"/>
      <c r="G7" s="1182"/>
      <c r="H7" s="242">
        <f>TC!C29</f>
        <v>3</v>
      </c>
      <c r="I7" s="33"/>
      <c r="J7" s="233"/>
      <c r="K7" s="121"/>
      <c r="L7" s="121"/>
      <c r="M7" s="121"/>
      <c r="N7" s="121"/>
      <c r="O7" s="234"/>
    </row>
    <row r="8" spans="2:15" ht="6" customHeight="1">
      <c r="B8" s="1"/>
      <c r="C8" s="226"/>
      <c r="D8" s="1"/>
      <c r="E8" s="1"/>
      <c r="F8" s="1"/>
      <c r="G8" s="1"/>
      <c r="H8" s="1"/>
      <c r="J8" s="233"/>
      <c r="K8" s="121"/>
      <c r="L8" s="121"/>
      <c r="M8" s="121"/>
      <c r="N8" s="121"/>
      <c r="O8" s="234"/>
    </row>
    <row r="9" spans="2:15" ht="22.5" customHeight="1">
      <c r="B9" s="243"/>
      <c r="C9" s="243" t="s">
        <v>8</v>
      </c>
      <c r="D9" s="243" t="s">
        <v>9</v>
      </c>
      <c r="E9" s="1183" t="s">
        <v>7</v>
      </c>
      <c r="F9" s="1138"/>
      <c r="G9" s="1183" t="s">
        <v>129</v>
      </c>
      <c r="H9" s="1138"/>
      <c r="I9" s="1"/>
      <c r="J9" s="233"/>
      <c r="K9" s="121"/>
      <c r="L9" s="121"/>
      <c r="M9" s="121"/>
      <c r="N9" s="121"/>
      <c r="O9" s="234"/>
    </row>
    <row r="10" spans="2:15" ht="6" customHeight="1">
      <c r="B10" s="1"/>
      <c r="C10" s="226"/>
      <c r="D10" s="1"/>
      <c r="E10" s="1"/>
      <c r="F10" s="1"/>
      <c r="G10" s="1"/>
      <c r="H10" s="1"/>
      <c r="I10" s="1"/>
      <c r="J10" s="233"/>
      <c r="K10" s="121"/>
      <c r="L10" s="121"/>
      <c r="M10" s="121"/>
      <c r="N10" s="121"/>
      <c r="O10" s="234"/>
    </row>
    <row r="11" spans="2:15" ht="19.5" customHeight="1">
      <c r="B11" s="244" t="s">
        <v>140</v>
      </c>
      <c r="C11" s="245">
        <f>IF(C4&lt;=200,0,IF(C4&lt;=1000,((C4-200)/800),IF(C4&lt;=10000,(1+(C4-1000)/9000),MIN(3,1.2783*LN(C4)-9.767))))</f>
        <v>1</v>
      </c>
      <c r="D11" s="245">
        <f>IF(C5&lt;=200,0,IF(C5&lt;=1000,((C5-200)/800),IF(C5&lt;=10000,(1+(C5-1000)/9000),MIN(3,1.2783*LN(C5)-9.767))))</f>
        <v>3</v>
      </c>
      <c r="E11" s="1184">
        <f>IF(C6&lt;=200,0,IF(C6&lt;=1000,(1+(C6-200)/800),IF(C6&lt;=10000,(1+(C6-1000)/9000),MIN(3,1.2783*LN(C6)-9.767))))</f>
        <v>0</v>
      </c>
      <c r="F11" s="1185"/>
      <c r="G11" s="246"/>
      <c r="H11" s="113">
        <f>IF(C7&lt;=200,0,IF(C7&lt;=1000,((C7-200)/800),IF(C7&lt;=10000,(1+(C7-1000)/9000),3)))</f>
        <v>3</v>
      </c>
      <c r="I11" s="10"/>
      <c r="J11" s="233"/>
      <c r="K11" s="121"/>
      <c r="L11" s="121"/>
      <c r="M11" s="121"/>
      <c r="N11" s="121"/>
      <c r="O11" s="234"/>
    </row>
    <row r="12" spans="2:15" ht="6" customHeight="1">
      <c r="B12" s="1167"/>
      <c r="C12" s="1018"/>
      <c r="D12" s="1018"/>
      <c r="E12" s="1018"/>
      <c r="F12" s="7"/>
      <c r="G12" s="1"/>
      <c r="H12" s="247"/>
      <c r="I12" s="1"/>
      <c r="J12" s="233"/>
      <c r="K12" s="121"/>
      <c r="L12" s="121"/>
      <c r="M12" s="121"/>
      <c r="N12" s="121"/>
      <c r="O12" s="234"/>
    </row>
    <row r="13" spans="2:15" ht="20.25" customHeight="1">
      <c r="B13" s="248" t="s">
        <v>141</v>
      </c>
      <c r="C13" s="249">
        <f>C11</f>
        <v>1</v>
      </c>
      <c r="D13" s="250">
        <f>D11</f>
        <v>3</v>
      </c>
      <c r="E13" s="1168">
        <f>E11</f>
        <v>0</v>
      </c>
      <c r="F13" s="1140"/>
      <c r="G13" s="251"/>
      <c r="H13" s="252">
        <f>H11</f>
        <v>3</v>
      </c>
      <c r="I13" s="1"/>
      <c r="J13" s="253"/>
      <c r="K13" s="254"/>
      <c r="L13" s="254"/>
      <c r="M13" s="254"/>
      <c r="N13" s="254"/>
      <c r="O13" s="255"/>
    </row>
  </sheetData>
  <mergeCells count="14">
    <mergeCell ref="B12:E12"/>
    <mergeCell ref="E13:F13"/>
    <mergeCell ref="B2:H2"/>
    <mergeCell ref="J2:O2"/>
    <mergeCell ref="B3:C3"/>
    <mergeCell ref="D3:D7"/>
    <mergeCell ref="E3:H3"/>
    <mergeCell ref="E4:G4"/>
    <mergeCell ref="E5:G5"/>
    <mergeCell ref="E6:G6"/>
    <mergeCell ref="E7:G7"/>
    <mergeCell ref="E9:F9"/>
    <mergeCell ref="G9:H9"/>
    <mergeCell ref="E11:F11"/>
  </mergeCells>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O20"/>
  <sheetViews>
    <sheetView workbookViewId="0">
      <selection activeCell="M28" sqref="M28"/>
    </sheetView>
  </sheetViews>
  <sheetFormatPr defaultColWidth="14.42578125" defaultRowHeight="15" customHeight="1"/>
  <cols>
    <col min="1" max="1" width="1.85546875" customWidth="1"/>
    <col min="2" max="2" width="8.5703125" customWidth="1"/>
    <col min="3" max="3" width="31.140625" customWidth="1"/>
    <col min="4" max="4" width="4.140625" customWidth="1"/>
    <col min="5" max="5" width="47.140625" customWidth="1"/>
    <col min="6" max="6" width="4.140625" customWidth="1"/>
    <col min="7" max="7" width="45" customWidth="1"/>
    <col min="8" max="8" width="4.140625" customWidth="1"/>
    <col min="9" max="9" width="1.5703125" customWidth="1"/>
    <col min="10" max="14" width="8.85546875" customWidth="1"/>
    <col min="15" max="15" width="26.140625" customWidth="1"/>
    <col min="16" max="26" width="8.85546875" customWidth="1"/>
  </cols>
  <sheetData>
    <row r="2" spans="2:15" ht="21" customHeight="1" thickBot="1">
      <c r="B2" s="1187" t="s">
        <v>142</v>
      </c>
      <c r="C2" s="1018"/>
      <c r="D2" s="1018"/>
      <c r="E2" s="1018"/>
      <c r="F2" s="1018"/>
      <c r="G2" s="1018"/>
      <c r="H2" s="1023"/>
      <c r="I2" s="1"/>
      <c r="J2" s="1188" t="s">
        <v>582</v>
      </c>
      <c r="K2" s="1189"/>
      <c r="L2" s="1189"/>
      <c r="M2" s="1189"/>
      <c r="N2" s="1189"/>
      <c r="O2" s="1190"/>
    </row>
    <row r="3" spans="2:15" ht="18" customHeight="1">
      <c r="B3" s="257" t="s">
        <v>121</v>
      </c>
      <c r="C3" s="258">
        <v>1</v>
      </c>
      <c r="D3" s="62">
        <v>2</v>
      </c>
      <c r="E3" s="62">
        <v>3</v>
      </c>
      <c r="F3" s="62">
        <v>4</v>
      </c>
      <c r="G3" s="63">
        <v>5</v>
      </c>
      <c r="H3" s="145">
        <v>6</v>
      </c>
      <c r="I3" s="165"/>
      <c r="J3" s="259"/>
      <c r="K3" s="260"/>
      <c r="L3" s="260"/>
      <c r="M3" s="260"/>
      <c r="N3" s="260"/>
      <c r="O3" s="261"/>
    </row>
    <row r="4" spans="2:15" ht="21" customHeight="1">
      <c r="B4" s="1191"/>
      <c r="C4" s="262" t="s">
        <v>143</v>
      </c>
      <c r="D4" s="62">
        <f>TC!C31</f>
        <v>0</v>
      </c>
      <c r="E4" s="967" t="s">
        <v>144</v>
      </c>
      <c r="F4" s="62">
        <f>TC!C32</f>
        <v>6</v>
      </c>
      <c r="G4" s="263" t="s">
        <v>145</v>
      </c>
      <c r="H4" s="145">
        <f>TC!C33</f>
        <v>15</v>
      </c>
      <c r="I4" s="121"/>
      <c r="J4" s="264"/>
      <c r="K4" s="265"/>
      <c r="L4" s="265"/>
      <c r="M4" s="265"/>
      <c r="N4" s="265"/>
      <c r="O4" s="266"/>
    </row>
    <row r="5" spans="2:15" ht="75">
      <c r="B5" s="1192"/>
      <c r="C5" s="258" t="s">
        <v>146</v>
      </c>
      <c r="D5" s="267"/>
      <c r="E5" s="268" t="s">
        <v>147</v>
      </c>
      <c r="F5" s="269"/>
      <c r="G5" s="268" t="s">
        <v>148</v>
      </c>
      <c r="H5" s="270"/>
      <c r="I5" s="1"/>
      <c r="J5" s="264"/>
      <c r="K5" s="265"/>
      <c r="L5" s="265"/>
      <c r="M5" s="265"/>
      <c r="N5" s="265"/>
      <c r="O5" s="266"/>
    </row>
    <row r="6" spans="2:15" ht="21" customHeight="1">
      <c r="B6" s="271" t="s">
        <v>126</v>
      </c>
      <c r="C6" s="1193" t="s">
        <v>127</v>
      </c>
      <c r="D6" s="1081"/>
      <c r="E6" s="1081"/>
      <c r="F6" s="272"/>
      <c r="G6" s="1194" t="s">
        <v>128</v>
      </c>
      <c r="H6" s="1098"/>
      <c r="I6" s="1"/>
      <c r="J6" s="264"/>
      <c r="K6" s="265"/>
      <c r="L6" s="265"/>
      <c r="M6" s="265"/>
      <c r="N6" s="265"/>
      <c r="O6" s="266"/>
    </row>
    <row r="7" spans="2:15" ht="51">
      <c r="B7" s="273">
        <v>1</v>
      </c>
      <c r="C7" s="274" t="s">
        <v>149</v>
      </c>
      <c r="D7" s="275"/>
      <c r="E7" s="836" t="s">
        <v>666</v>
      </c>
      <c r="F7" s="183">
        <v>1</v>
      </c>
      <c r="G7" s="830" t="s">
        <v>695</v>
      </c>
      <c r="H7" s="277"/>
      <c r="I7" s="1"/>
      <c r="J7" s="264"/>
      <c r="K7" s="265"/>
      <c r="L7" s="265"/>
      <c r="M7" s="265"/>
      <c r="N7" s="265"/>
      <c r="O7" s="266"/>
    </row>
    <row r="8" spans="2:15" ht="25.5">
      <c r="B8" s="273">
        <v>2</v>
      </c>
      <c r="C8" s="1195"/>
      <c r="D8" s="1196"/>
      <c r="E8" s="830" t="s">
        <v>667</v>
      </c>
      <c r="F8" s="278"/>
      <c r="G8" s="1198"/>
      <c r="H8" s="1199"/>
      <c r="I8" s="1"/>
      <c r="J8" s="264"/>
      <c r="K8" s="265"/>
      <c r="L8" s="265"/>
      <c r="M8" s="265"/>
      <c r="N8" s="265"/>
      <c r="O8" s="266"/>
    </row>
    <row r="9" spans="2:15" ht="22.35" customHeight="1">
      <c r="B9" s="273">
        <v>3</v>
      </c>
      <c r="C9" s="1045"/>
      <c r="D9" s="1197"/>
      <c r="E9" s="830" t="s">
        <v>668</v>
      </c>
      <c r="F9" s="278"/>
      <c r="G9" s="1197"/>
      <c r="H9" s="1058"/>
      <c r="I9" s="1"/>
      <c r="J9" s="264"/>
      <c r="K9" s="265"/>
      <c r="L9" s="265"/>
      <c r="M9" s="265"/>
      <c r="N9" s="265"/>
      <c r="O9" s="266"/>
    </row>
    <row r="10" spans="2:15" ht="22.35" customHeight="1">
      <c r="B10" s="273">
        <v>4</v>
      </c>
      <c r="C10" s="1045"/>
      <c r="D10" s="1197"/>
      <c r="E10" s="830" t="s">
        <v>669</v>
      </c>
      <c r="F10" s="278"/>
      <c r="G10" s="1197"/>
      <c r="H10" s="1058"/>
      <c r="I10" s="1"/>
      <c r="J10" s="264"/>
      <c r="K10" s="265"/>
      <c r="L10" s="265"/>
      <c r="M10" s="265"/>
      <c r="N10" s="265"/>
      <c r="O10" s="266"/>
    </row>
    <row r="11" spans="2:15" ht="22.35" customHeight="1">
      <c r="B11" s="273">
        <v>5</v>
      </c>
      <c r="C11" s="1045"/>
      <c r="D11" s="1197"/>
      <c r="E11" s="830" t="s">
        <v>670</v>
      </c>
      <c r="F11" s="278"/>
      <c r="G11" s="1197"/>
      <c r="H11" s="1058"/>
      <c r="I11" s="1"/>
      <c r="J11" s="264"/>
      <c r="K11" s="265" t="s">
        <v>150</v>
      </c>
      <c r="L11" s="265"/>
      <c r="M11" s="265"/>
      <c r="N11" s="265"/>
      <c r="O11" s="266"/>
    </row>
    <row r="12" spans="2:15" ht="22.35" customHeight="1">
      <c r="B12" s="273">
        <v>6</v>
      </c>
      <c r="C12" s="1045"/>
      <c r="D12" s="1197"/>
      <c r="E12" s="830" t="s">
        <v>671</v>
      </c>
      <c r="F12" s="278"/>
      <c r="G12" s="1197"/>
      <c r="H12" s="1058"/>
      <c r="I12" s="1"/>
      <c r="J12" s="264"/>
      <c r="K12" s="265"/>
      <c r="L12" s="265"/>
      <c r="M12" s="265"/>
      <c r="N12" s="265"/>
      <c r="O12" s="266"/>
    </row>
    <row r="13" spans="2:15" ht="22.35" customHeight="1">
      <c r="B13" s="273">
        <v>7</v>
      </c>
      <c r="C13" s="1055"/>
      <c r="D13" s="1192"/>
      <c r="E13" s="837" t="s">
        <v>672</v>
      </c>
      <c r="F13" s="281"/>
      <c r="G13" s="1192"/>
      <c r="H13" s="1059"/>
      <c r="I13" s="1"/>
      <c r="J13" s="264"/>
      <c r="K13" s="265"/>
      <c r="L13" s="265"/>
      <c r="M13" s="265"/>
      <c r="N13" s="265"/>
      <c r="O13" s="266"/>
    </row>
    <row r="14" spans="2:15" ht="16.5" customHeight="1">
      <c r="B14" s="282"/>
      <c r="C14" s="283" t="s">
        <v>129</v>
      </c>
      <c r="D14" s="284">
        <f>SUM(D7:D13)</f>
        <v>0</v>
      </c>
      <c r="E14" s="285" t="s">
        <v>129</v>
      </c>
      <c r="F14" s="284">
        <f>SUM(F7:F13)</f>
        <v>1</v>
      </c>
      <c r="G14" s="283" t="s">
        <v>129</v>
      </c>
      <c r="H14" s="284">
        <f>SUM(H7:H13)</f>
        <v>0</v>
      </c>
      <c r="I14" s="1"/>
      <c r="J14" s="286"/>
      <c r="K14" s="287"/>
      <c r="L14" s="287"/>
      <c r="M14" s="287"/>
      <c r="N14" s="287"/>
      <c r="O14" s="288"/>
    </row>
    <row r="15" spans="2:15" ht="7.5" customHeight="1">
      <c r="B15" s="1"/>
      <c r="C15" s="14"/>
      <c r="D15" s="147"/>
      <c r="E15" s="289"/>
      <c r="F15" s="10"/>
      <c r="G15" s="14"/>
      <c r="H15" s="14"/>
      <c r="I15" s="1"/>
    </row>
    <row r="16" spans="2:15" ht="24.75" customHeight="1">
      <c r="B16" s="1200" t="s">
        <v>151</v>
      </c>
      <c r="C16" s="1111"/>
      <c r="D16" s="1111"/>
      <c r="E16" s="1111"/>
      <c r="F16" s="1111"/>
      <c r="G16" s="1201">
        <f>IF(SUM(D14:I14)=0,0, IF(D14=1,0,(IF(H7=1,H4,(8-F14)*F4/7))))</f>
        <v>6</v>
      </c>
      <c r="H16" s="1138"/>
      <c r="I16" s="1"/>
      <c r="J16" s="1"/>
      <c r="K16" s="1"/>
      <c r="L16" s="1"/>
      <c r="M16" s="1"/>
      <c r="N16" s="1"/>
      <c r="O16" s="1"/>
    </row>
    <row r="18" spans="2:8" ht="24.75" customHeight="1">
      <c r="B18" s="1202" t="s">
        <v>130</v>
      </c>
      <c r="C18" s="1111"/>
      <c r="D18" s="1111"/>
      <c r="E18" s="1111"/>
      <c r="F18" s="1111"/>
      <c r="G18" s="1203">
        <f>G16</f>
        <v>6</v>
      </c>
      <c r="H18" s="1138"/>
    </row>
    <row r="19" spans="2:8" ht="6" customHeight="1">
      <c r="B19" s="1"/>
      <c r="C19" s="1"/>
      <c r="D19" s="1"/>
      <c r="E19" s="1"/>
      <c r="F19" s="226"/>
      <c r="G19" s="1"/>
      <c r="H19" s="14"/>
    </row>
    <row r="20" spans="2:8" ht="19.5" customHeight="1">
      <c r="B20" s="1186" t="str">
        <f>IF(D7+F7+H7&gt;1,"WARNING!  Too many options selected in Row 1"," ")</f>
        <v xml:space="preserve"> </v>
      </c>
      <c r="C20" s="1111"/>
      <c r="D20" s="1111"/>
      <c r="E20" s="1111"/>
      <c r="F20" s="1111"/>
      <c r="G20" s="1111"/>
      <c r="H20" s="1138"/>
    </row>
  </sheetData>
  <mergeCells count="14">
    <mergeCell ref="B20:H20"/>
    <mergeCell ref="B2:H2"/>
    <mergeCell ref="J2:O2"/>
    <mergeCell ref="B4:B5"/>
    <mergeCell ref="C6:E6"/>
    <mergeCell ref="G6:H6"/>
    <mergeCell ref="C8:C13"/>
    <mergeCell ref="D8:D13"/>
    <mergeCell ref="G8:G13"/>
    <mergeCell ref="H8:H13"/>
    <mergeCell ref="B16:F16"/>
    <mergeCell ref="G16:H16"/>
    <mergeCell ref="B18:F18"/>
    <mergeCell ref="G18:H18"/>
  </mergeCells>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33</vt:i4>
      </vt:variant>
      <vt:variant>
        <vt:lpstr>Named Ranges</vt:lpstr>
      </vt:variant>
      <vt:variant>
        <vt:i4>2</vt:i4>
      </vt:variant>
    </vt:vector>
  </HeadingPairs>
  <TitlesOfParts>
    <vt:vector size="35" baseType="lpstr">
      <vt:lpstr>Supporting Data</vt:lpstr>
      <vt:lpstr>SUMMARY</vt:lpstr>
      <vt:lpstr>TC</vt:lpstr>
      <vt:lpstr>1 Age</vt:lpstr>
      <vt:lpstr>2 IDF</vt:lpstr>
      <vt:lpstr>3 Seismic design</vt:lpstr>
      <vt:lpstr>4 Landslides</vt:lpstr>
      <vt:lpstr>5 Length</vt:lpstr>
      <vt:lpstr>6 Conduits</vt:lpstr>
      <vt:lpstr>7 Filters</vt:lpstr>
      <vt:lpstr>8 Foundation</vt:lpstr>
      <vt:lpstr>EC</vt:lpstr>
      <vt:lpstr>1 Seismic resistance </vt:lpstr>
      <vt:lpstr>3 Flow disch</vt:lpstr>
      <vt:lpstr>4 Back-up power</vt:lpstr>
      <vt:lpstr>5 Access</vt:lpstr>
      <vt:lpstr>6 Concrete</vt:lpstr>
      <vt:lpstr>7 Spillway</vt:lpstr>
      <vt:lpstr>8 Masonry</vt:lpstr>
      <vt:lpstr>9 Embankment</vt:lpstr>
      <vt:lpstr>SP</vt:lpstr>
      <vt:lpstr>1 Documents</vt:lpstr>
      <vt:lpstr>2 O&amp;M</vt:lpstr>
      <vt:lpstr>3 EAP</vt:lpstr>
      <vt:lpstr>4 Organization</vt:lpstr>
      <vt:lpstr>5 Inspections</vt:lpstr>
      <vt:lpstr>6 DS Reports</vt:lpstr>
      <vt:lpstr>7 Follow up</vt:lpstr>
      <vt:lpstr>8 River System ops</vt:lpstr>
      <vt:lpstr>PI</vt:lpstr>
      <vt:lpstr>2 Environment</vt:lpstr>
      <vt:lpstr>3 Soc-econ</vt:lpstr>
      <vt:lpstr>COMMENTS</vt:lpstr>
      <vt:lpstr>'8 Masonry'!_Hlk47110818</vt:lpstr>
      <vt:lpstr>'9 Embankment'!_Hlk47110818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acer</cp:lastModifiedBy>
  <cp:lastPrinted>2024-10-23T05:15:16Z</cp:lastPrinted>
  <dcterms:created xsi:type="dcterms:W3CDTF">2019-11-01T16:29:22Z</dcterms:created>
  <dcterms:modified xsi:type="dcterms:W3CDTF">2024-11-04T07:43:38Z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0x01010002C08B21AF925745811E2C651EA5C182</vt:lpwstr>
  </property>
</Properties>
</file>